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codeName="{51196F13-6AD0-C1B8-E2B4-A1F9AE17003E}"/>
  <workbookPr showInkAnnotation="0" codeName="ThisWorkbook" autoCompressPictures="0"/>
  <mc:AlternateContent xmlns:mc="http://schemas.openxmlformats.org/markup-compatibility/2006">
    <mc:Choice Requires="x15">
      <x15ac:absPath xmlns:x15ac="http://schemas.microsoft.com/office/spreadsheetml/2010/11/ac" url="C:\Users\anneb\Documents\PC\Økonomi og ledelse nettressurs\Kapittel 6\"/>
    </mc:Choice>
  </mc:AlternateContent>
  <bookViews>
    <workbookView xWindow="0" yWindow="0" windowWidth="28800" windowHeight="11610" activeTab="1"/>
  </bookViews>
  <sheets>
    <sheet name="Markedstilpasning" sheetId="1" r:id="rId1"/>
    <sheet name="Enhetsdiagram" sheetId="3" r:id="rId2"/>
    <sheet name="Totaldiagram" sheetId="2" r:id="rId3"/>
    <sheet name="Hjelp" sheetId="4" r:id="rId4"/>
  </sheets>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Hjelp!$A$1:$O$199</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7102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42" i="1" l="1"/>
  <c r="W44" i="1"/>
  <c r="M42" i="1"/>
  <c r="M44" i="1"/>
  <c r="W46" i="1"/>
  <c r="M46" i="1"/>
  <c r="W48" i="1"/>
  <c r="M48" i="1"/>
  <c r="W50" i="1"/>
  <c r="M50" i="1"/>
  <c r="W52" i="1"/>
  <c r="M52" i="1"/>
  <c r="W54" i="1"/>
  <c r="M54" i="1"/>
  <c r="W56" i="1"/>
  <c r="M56" i="1"/>
  <c r="W58" i="1"/>
  <c r="M58" i="1"/>
  <c r="W60" i="1"/>
  <c r="M60" i="1"/>
  <c r="W62" i="1"/>
  <c r="M62" i="1"/>
  <c r="N62" i="1"/>
  <c r="N60" i="1"/>
  <c r="O61" i="1"/>
  <c r="C61" i="1"/>
  <c r="B46" i="1"/>
  <c r="B44" i="1"/>
  <c r="L44" i="1"/>
  <c r="A44" i="1"/>
  <c r="L46" i="1"/>
  <c r="A46" i="1"/>
  <c r="D35" i="1"/>
  <c r="L60" i="1"/>
  <c r="A60" i="1"/>
  <c r="B62" i="1"/>
  <c r="B60" i="1"/>
  <c r="L62" i="1"/>
  <c r="A62" i="1"/>
  <c r="G37" i="1"/>
  <c r="L58" i="1"/>
  <c r="A58" i="1"/>
  <c r="B58" i="1"/>
  <c r="F37" i="1"/>
  <c r="L56" i="1"/>
  <c r="A56" i="1"/>
  <c r="B56" i="1"/>
  <c r="E37" i="1"/>
  <c r="L54" i="1"/>
  <c r="A54" i="1"/>
  <c r="B54" i="1"/>
  <c r="D37" i="1"/>
  <c r="L52" i="1"/>
  <c r="A52" i="1"/>
  <c r="B52" i="1"/>
  <c r="C37" i="1"/>
  <c r="G36" i="1"/>
  <c r="F36" i="1"/>
  <c r="E36" i="1"/>
  <c r="D36" i="1"/>
  <c r="C36" i="1"/>
  <c r="L50" i="1"/>
  <c r="A50" i="1"/>
  <c r="B50" i="1"/>
  <c r="G35" i="1"/>
  <c r="L48" i="1"/>
  <c r="A48" i="1"/>
  <c r="B48" i="1"/>
  <c r="F35" i="1"/>
  <c r="E35" i="1"/>
  <c r="L42" i="1"/>
  <c r="A42" i="1"/>
  <c r="C35" i="1"/>
  <c r="G34" i="1"/>
  <c r="F34" i="1"/>
  <c r="E34" i="1"/>
  <c r="D34" i="1"/>
  <c r="C34" i="1"/>
  <c r="N42" i="1"/>
  <c r="Q42" i="1"/>
  <c r="U42" i="1"/>
  <c r="P42" i="1"/>
  <c r="R42" i="1"/>
  <c r="T42" i="1"/>
  <c r="P62" i="1"/>
  <c r="Q62" i="1"/>
  <c r="R62" i="1"/>
  <c r="P60" i="1"/>
  <c r="Q60" i="1"/>
  <c r="R60" i="1"/>
  <c r="P58" i="1"/>
  <c r="P6" i="1"/>
  <c r="P7" i="1"/>
  <c r="P8" i="1"/>
  <c r="P9" i="1"/>
  <c r="P10" i="1"/>
  <c r="P11" i="1"/>
  <c r="P12" i="1"/>
  <c r="P13" i="1"/>
  <c r="P14" i="1"/>
  <c r="Q58" i="1"/>
  <c r="R58" i="1"/>
  <c r="P56" i="1"/>
  <c r="Q56" i="1"/>
  <c r="R56" i="1"/>
  <c r="P54" i="1"/>
  <c r="Q54" i="1"/>
  <c r="R54" i="1"/>
  <c r="P52" i="1"/>
  <c r="Q52" i="1"/>
  <c r="R52" i="1"/>
  <c r="P50" i="1"/>
  <c r="Q50" i="1"/>
  <c r="R50" i="1"/>
  <c r="P48" i="1"/>
  <c r="Q48" i="1"/>
  <c r="R48" i="1"/>
  <c r="P46" i="1"/>
  <c r="Q46" i="1"/>
  <c r="R46" i="1"/>
  <c r="P44" i="1"/>
  <c r="Q44" i="1"/>
  <c r="R44" i="1"/>
  <c r="AU100" i="1"/>
  <c r="AZ100" i="1"/>
  <c r="AU101" i="1"/>
  <c r="AZ101" i="1"/>
  <c r="AU102" i="1"/>
  <c r="AZ102" i="1"/>
  <c r="AU103" i="1"/>
  <c r="AZ103" i="1"/>
  <c r="AU104" i="1"/>
  <c r="AZ104" i="1"/>
  <c r="AU105" i="1"/>
  <c r="AZ105" i="1"/>
  <c r="AU106" i="1"/>
  <c r="AZ106" i="1"/>
  <c r="AU107" i="1"/>
  <c r="AZ107" i="1"/>
  <c r="AU108" i="1"/>
  <c r="AZ108" i="1"/>
  <c r="B42" i="1"/>
  <c r="AV112" i="1"/>
  <c r="BB112" i="1"/>
  <c r="AG208" i="1"/>
  <c r="AM208" i="1"/>
  <c r="AG209" i="1"/>
  <c r="AH209" i="1"/>
  <c r="AM209" i="1"/>
  <c r="AN209" i="1"/>
  <c r="AM202" i="1"/>
  <c r="AN202" i="1"/>
  <c r="AO202" i="1"/>
  <c r="AG204" i="1"/>
  <c r="AM204" i="1"/>
  <c r="AN204" i="1"/>
  <c r="AG205" i="1"/>
  <c r="A27" i="1"/>
  <c r="AH205" i="1"/>
  <c r="AM205" i="1"/>
  <c r="AN205" i="1"/>
  <c r="AG206" i="1"/>
  <c r="AM206" i="1"/>
  <c r="AM207" i="1"/>
  <c r="AN207" i="1"/>
  <c r="AM203" i="1"/>
  <c r="AN203" i="1"/>
  <c r="AG202" i="1"/>
  <c r="A26" i="1"/>
  <c r="AH204" i="1"/>
  <c r="A25" i="1"/>
  <c r="AH203" i="1"/>
  <c r="G30" i="1"/>
  <c r="H30" i="1"/>
  <c r="G28" i="1"/>
  <c r="H28" i="1"/>
  <c r="AO206" i="1"/>
  <c r="H26" i="1"/>
  <c r="AO204" i="1"/>
  <c r="H25" i="1"/>
  <c r="AO203" i="1"/>
  <c r="AS119" i="1"/>
  <c r="AP39" i="1"/>
  <c r="U41" i="1"/>
  <c r="T41" i="1"/>
  <c r="AM41" i="1"/>
  <c r="AS123" i="1"/>
  <c r="D42" i="1"/>
  <c r="BA112" i="1"/>
  <c r="AI122" i="1"/>
  <c r="P15" i="1"/>
  <c r="P16" i="1"/>
  <c r="AS125" i="1"/>
  <c r="AS127" i="1"/>
  <c r="AS129" i="1"/>
  <c r="AS131" i="1"/>
  <c r="AS133" i="1"/>
  <c r="AS135" i="1"/>
  <c r="AS137" i="1"/>
  <c r="AS139" i="1"/>
  <c r="AS141" i="1"/>
  <c r="AZ98" i="1"/>
  <c r="BE98" i="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c r="AN122" i="1"/>
  <c r="AL122" i="1"/>
  <c r="AJ122" i="1"/>
  <c r="B41" i="1"/>
  <c r="AH121" i="1"/>
  <c r="AG40" i="1"/>
  <c r="AI40" i="1"/>
  <c r="AG41" i="1"/>
  <c r="AI41" i="1"/>
  <c r="Y40" i="1"/>
  <c r="D41" i="1"/>
  <c r="AI121" i="1"/>
  <c r="AU97" i="1"/>
  <c r="AE117" i="1"/>
  <c r="AD37" i="1"/>
  <c r="X40" i="1"/>
  <c r="D15" i="1"/>
  <c r="AG121"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J97" i="1"/>
  <c r="BA111" i="1"/>
  <c r="AF121" i="1"/>
  <c r="AE121" i="1"/>
  <c r="A28" i="1"/>
  <c r="AH206" i="1"/>
  <c r="A30" i="1"/>
  <c r="AH208" i="1"/>
  <c r="AN206" i="1"/>
  <c r="AN208" i="1"/>
  <c r="H27" i="1"/>
  <c r="AO205" i="1"/>
  <c r="H29" i="1"/>
  <c r="AG42" i="1"/>
  <c r="E42" i="1"/>
  <c r="F42" i="1"/>
  <c r="AV111" i="1"/>
  <c r="AZ111" i="1"/>
  <c r="BH97" i="1"/>
  <c r="AO207" i="1"/>
  <c r="A29" i="1"/>
  <c r="AH207" i="1"/>
  <c r="AV113" i="1"/>
  <c r="AO208" i="1"/>
  <c r="H31" i="1"/>
  <c r="AO209" i="1"/>
  <c r="X44" i="1"/>
  <c r="Y44" i="1"/>
  <c r="AU98" i="1"/>
  <c r="N44" i="1"/>
  <c r="AX99" i="1"/>
  <c r="E46" i="1"/>
  <c r="AU112" i="1"/>
  <c r="AD122" i="1"/>
  <c r="AD42" i="1"/>
  <c r="BJ98" i="1"/>
  <c r="F44" i="1"/>
  <c r="AX113" i="1"/>
  <c r="AJ124" i="1"/>
  <c r="I42" i="1"/>
  <c r="J42" i="1"/>
  <c r="AX101" i="1"/>
  <c r="AI48" i="1"/>
  <c r="E48" i="1"/>
  <c r="E52" i="1"/>
  <c r="E50" i="1"/>
  <c r="AX102" i="1"/>
  <c r="F48" i="1"/>
  <c r="AX115" i="1"/>
  <c r="AJ128" i="1"/>
  <c r="AG50" i="1"/>
  <c r="AD50" i="1"/>
  <c r="BE102" i="1"/>
  <c r="AH50" i="1"/>
  <c r="AU116" i="1"/>
  <c r="AD130" i="1"/>
  <c r="E54" i="1"/>
  <c r="F54" i="1"/>
  <c r="AX118" i="1"/>
  <c r="AJ134" i="1"/>
  <c r="F50" i="1"/>
  <c r="AX116" i="1"/>
  <c r="AJ130" i="1"/>
  <c r="AX100" i="1"/>
  <c r="F46" i="1"/>
  <c r="AX114" i="1"/>
  <c r="AJ126" i="1"/>
  <c r="AV114" i="1"/>
  <c r="U44" i="1"/>
  <c r="AU99" i="1"/>
  <c r="Z44" i="1"/>
  <c r="BH98" i="1"/>
  <c r="BI98" i="1"/>
  <c r="BA98" i="1"/>
  <c r="AF42" i="1"/>
  <c r="AP122" i="1"/>
  <c r="G48" i="1"/>
  <c r="AW115" i="1"/>
  <c r="AL128" i="1"/>
  <c r="AX98" i="1"/>
  <c r="AF122" i="1"/>
  <c r="AE122" i="1"/>
  <c r="E44" i="1"/>
  <c r="G44" i="1"/>
  <c r="AW113" i="1"/>
  <c r="AL124" i="1"/>
  <c r="S43" i="1"/>
  <c r="H43" i="1"/>
  <c r="S47" i="1"/>
  <c r="H47" i="1"/>
  <c r="AW126" i="1"/>
  <c r="AU126" i="1"/>
  <c r="AX104" i="1"/>
  <c r="AI54" i="1"/>
  <c r="AI50" i="1"/>
  <c r="BC102" i="1"/>
  <c r="AW102" i="1"/>
  <c r="D44" i="1"/>
  <c r="J44" i="1"/>
  <c r="BI113" i="1"/>
  <c r="G42" i="1"/>
  <c r="N46" i="1"/>
  <c r="BD116" i="1"/>
  <c r="AK130" i="1"/>
  <c r="G50" i="1"/>
  <c r="AW116" i="1"/>
  <c r="AL130" i="1"/>
  <c r="AI44" i="1"/>
  <c r="BH99" i="1"/>
  <c r="X46" i="1"/>
  <c r="AU113" i="1"/>
  <c r="AZ99" i="1"/>
  <c r="AI46" i="1"/>
  <c r="BC100" i="1"/>
  <c r="AJ46" i="1"/>
  <c r="BC99" i="1"/>
  <c r="AJ44" i="1"/>
  <c r="AD44" i="1"/>
  <c r="G46" i="1"/>
  <c r="AW114" i="1"/>
  <c r="AL126" i="1"/>
  <c r="BB113" i="1"/>
  <c r="AF124" i="1"/>
  <c r="BB102" i="1"/>
  <c r="AL50" i="1"/>
  <c r="AJ50" i="1"/>
  <c r="BE99" i="1"/>
  <c r="BB99" i="1"/>
  <c r="BC113" i="1"/>
  <c r="AM124" i="1"/>
  <c r="AL44" i="1"/>
  <c r="AW98" i="1"/>
  <c r="AI42" i="1"/>
  <c r="BC98" i="1"/>
  <c r="T44" i="1"/>
  <c r="I44" i="1"/>
  <c r="BG113" i="1"/>
  <c r="Z42" i="1"/>
  <c r="O43" i="1"/>
  <c r="C43" i="1"/>
  <c r="AV98" i="1"/>
  <c r="AK50" i="1"/>
  <c r="AW100" i="1"/>
  <c r="AY115" i="1"/>
  <c r="U46" i="1"/>
  <c r="T46" i="1"/>
  <c r="I46" i="1"/>
  <c r="BG114" i="1"/>
  <c r="BA113" i="1"/>
  <c r="D46" i="1"/>
  <c r="BE100" i="1"/>
  <c r="BB100" i="1"/>
  <c r="BE115" i="1"/>
  <c r="BC116" i="1"/>
  <c r="AM130" i="1"/>
  <c r="S45" i="1"/>
  <c r="H45" i="1"/>
  <c r="S49" i="1"/>
  <c r="H49" i="1"/>
  <c r="O45" i="1"/>
  <c r="C45" i="1"/>
  <c r="BI99" i="1"/>
  <c r="BA99" i="1"/>
  <c r="AV99" i="1"/>
  <c r="AE44" i="1"/>
  <c r="AX103" i="1"/>
  <c r="F52" i="1"/>
  <c r="AX117" i="1"/>
  <c r="AJ132" i="1"/>
  <c r="E56" i="1"/>
  <c r="X48" i="1"/>
  <c r="Y46" i="1"/>
  <c r="Z46" i="1"/>
  <c r="AW99" i="1"/>
  <c r="AK44" i="1"/>
  <c r="AQ124" i="1"/>
  <c r="AV115" i="1"/>
  <c r="N48" i="1"/>
  <c r="AU115" i="1"/>
  <c r="AD48" i="1"/>
  <c r="BE101" i="1"/>
  <c r="BC101" i="1"/>
  <c r="AJ48" i="1"/>
  <c r="BH101" i="1"/>
  <c r="AZ114" i="1"/>
  <c r="S51" i="1"/>
  <c r="H51" i="1"/>
  <c r="G52" i="1"/>
  <c r="AW117" i="1"/>
  <c r="AL132" i="1"/>
  <c r="S53" i="1"/>
  <c r="H53" i="1"/>
  <c r="G54" i="1"/>
  <c r="AW118" i="1"/>
  <c r="AL134" i="1"/>
  <c r="AD46" i="1"/>
  <c r="AL46" i="1"/>
  <c r="AK46" i="1"/>
  <c r="AQ126" i="1"/>
  <c r="BH100" i="1"/>
  <c r="AU114" i="1"/>
  <c r="AZ113" i="1"/>
  <c r="AD124" i="1"/>
  <c r="BD113" i="1"/>
  <c r="AK124" i="1"/>
  <c r="J46" i="1"/>
  <c r="BI114" i="1"/>
  <c r="AG44" i="1"/>
  <c r="AU128" i="1"/>
  <c r="BB114" i="1"/>
  <c r="AF126" i="1"/>
  <c r="BB101" i="1"/>
  <c r="AL48" i="1"/>
  <c r="AH48" i="1"/>
  <c r="BE114" i="1"/>
  <c r="BB98" i="1"/>
  <c r="BD98" i="1"/>
  <c r="AN42" i="1"/>
  <c r="AJ42" i="1"/>
  <c r="BI100" i="1"/>
  <c r="BA100" i="1"/>
  <c r="BG100" i="1"/>
  <c r="BJ114" i="1"/>
  <c r="AX130" i="1"/>
  <c r="AP46" i="1"/>
  <c r="AF46" i="1"/>
  <c r="AV100" i="1"/>
  <c r="AE46" i="1"/>
  <c r="AP126" i="1"/>
  <c r="AB42" i="1"/>
  <c r="AF44" i="1"/>
  <c r="AP124" i="1"/>
  <c r="BF113" i="1"/>
  <c r="AK42" i="1"/>
  <c r="AY113" i="1"/>
  <c r="AY98" i="1"/>
  <c r="AE42" i="1"/>
  <c r="AG123" i="1"/>
  <c r="BF98" i="1"/>
  <c r="AO42" i="1"/>
  <c r="BG98" i="1"/>
  <c r="AP42" i="1"/>
  <c r="U48" i="1"/>
  <c r="J48" i="1"/>
  <c r="BI115" i="1"/>
  <c r="T48" i="1"/>
  <c r="I48" i="1"/>
  <c r="BG115" i="1"/>
  <c r="AY100" i="1"/>
  <c r="AM46" i="1"/>
  <c r="AI124" i="1"/>
  <c r="BJ99" i="1"/>
  <c r="AQ130" i="1"/>
  <c r="BA114" i="1"/>
  <c r="D48" i="1"/>
  <c r="O47" i="1"/>
  <c r="C47" i="1"/>
  <c r="AU117" i="1"/>
  <c r="BE103" i="1"/>
  <c r="AH52" i="1"/>
  <c r="AD52" i="1"/>
  <c r="N50" i="1"/>
  <c r="AV116" i="1"/>
  <c r="E58" i="1"/>
  <c r="BF99" i="1"/>
  <c r="AO44" i="1"/>
  <c r="BE104" i="1"/>
  <c r="AH54" i="1"/>
  <c r="AU118" i="1"/>
  <c r="AD54" i="1"/>
  <c r="BC104" i="1"/>
  <c r="AJ54" i="1"/>
  <c r="AV101" i="1"/>
  <c r="AE48" i="1"/>
  <c r="BI101" i="1"/>
  <c r="AW101" i="1"/>
  <c r="AG48" i="1"/>
  <c r="BB115" i="1"/>
  <c r="AF128" i="1"/>
  <c r="AD128" i="1"/>
  <c r="BD115" i="1"/>
  <c r="AK128" i="1"/>
  <c r="BC115" i="1"/>
  <c r="AM128" i="1"/>
  <c r="Y48" i="1"/>
  <c r="Z48" i="1"/>
  <c r="X50" i="1"/>
  <c r="AX105" i="1"/>
  <c r="F56" i="1"/>
  <c r="AX119" i="1"/>
  <c r="AJ136" i="1"/>
  <c r="BC103" i="1"/>
  <c r="AJ52" i="1"/>
  <c r="AI52" i="1"/>
  <c r="BG99" i="1"/>
  <c r="S55" i="1"/>
  <c r="H55" i="1"/>
  <c r="G56" i="1"/>
  <c r="AW119" i="1"/>
  <c r="AL136" i="1"/>
  <c r="AH44" i="1"/>
  <c r="BD99" i="1"/>
  <c r="AE124" i="1"/>
  <c r="AW128" i="1"/>
  <c r="BC114" i="1"/>
  <c r="AM126" i="1"/>
  <c r="BD114" i="1"/>
  <c r="AK126" i="1"/>
  <c r="AD126" i="1"/>
  <c r="AH46" i="1"/>
  <c r="AY99" i="1"/>
  <c r="CD99" i="1"/>
  <c r="CE99" i="1"/>
  <c r="AG46" i="1"/>
  <c r="AO129" i="1"/>
  <c r="AL42" i="1"/>
  <c r="AO123" i="1"/>
  <c r="BE113" i="1"/>
  <c r="AH125" i="1"/>
  <c r="BH113" i="1"/>
  <c r="AV128" i="1"/>
  <c r="AN44" i="1"/>
  <c r="BJ113" i="1"/>
  <c r="AX128" i="1"/>
  <c r="AP44" i="1"/>
  <c r="BD100" i="1"/>
  <c r="BH114" i="1"/>
  <c r="AV130" i="1"/>
  <c r="AN46" i="1"/>
  <c r="AS126" i="1"/>
  <c r="AH123" i="1"/>
  <c r="AR126" i="1"/>
  <c r="AN123" i="1"/>
  <c r="CD98" i="1"/>
  <c r="CE98" i="1"/>
  <c r="AM42" i="1"/>
  <c r="AR122" i="1"/>
  <c r="AK48" i="1"/>
  <c r="AY114" i="1"/>
  <c r="AM44" i="1"/>
  <c r="AR124" i="1"/>
  <c r="BA101" i="1"/>
  <c r="AF48" i="1"/>
  <c r="BF114" i="1"/>
  <c r="U50" i="1"/>
  <c r="J50" i="1"/>
  <c r="BI116" i="1"/>
  <c r="AW134" i="1"/>
  <c r="T50" i="1"/>
  <c r="I50" i="1"/>
  <c r="BG116" i="1"/>
  <c r="AU134" i="1"/>
  <c r="AI126" i="1"/>
  <c r="BJ100" i="1"/>
  <c r="BH102" i="1"/>
  <c r="AZ115" i="1"/>
  <c r="BB116" i="1"/>
  <c r="AF130" i="1"/>
  <c r="AE130" i="1"/>
  <c r="BA115" i="1"/>
  <c r="D50" i="1"/>
  <c r="O49" i="1"/>
  <c r="C49" i="1"/>
  <c r="BC105" i="1"/>
  <c r="AJ56" i="1"/>
  <c r="AI56" i="1"/>
  <c r="E60" i="1"/>
  <c r="S57" i="1"/>
  <c r="H57" i="1"/>
  <c r="AV102" i="1"/>
  <c r="AE50" i="1"/>
  <c r="AD132" i="1"/>
  <c r="BD117" i="1"/>
  <c r="AK132" i="1"/>
  <c r="Y50" i="1"/>
  <c r="Z50" i="1"/>
  <c r="X52" i="1"/>
  <c r="AO127" i="1"/>
  <c r="AG127" i="1"/>
  <c r="AU132" i="1"/>
  <c r="AN127" i="1"/>
  <c r="AW132" i="1"/>
  <c r="AE128" i="1"/>
  <c r="AH127" i="1"/>
  <c r="BG101" i="1"/>
  <c r="AD134" i="1"/>
  <c r="BD118" i="1"/>
  <c r="AK134" i="1"/>
  <c r="AV117" i="1"/>
  <c r="BH103" i="1"/>
  <c r="AZ116" i="1"/>
  <c r="N52" i="1"/>
  <c r="AW103" i="1"/>
  <c r="AG52" i="1"/>
  <c r="BB104" i="1"/>
  <c r="BB103" i="1"/>
  <c r="AU119" i="1"/>
  <c r="AD56" i="1"/>
  <c r="BE105" i="1"/>
  <c r="BF101" i="1"/>
  <c r="AO48" i="1"/>
  <c r="AY101" i="1"/>
  <c r="AG54" i="1"/>
  <c r="AW104" i="1"/>
  <c r="F58" i="1"/>
  <c r="AX120" i="1"/>
  <c r="AJ138" i="1"/>
  <c r="AX106" i="1"/>
  <c r="BI102" i="1"/>
  <c r="BF100" i="1"/>
  <c r="AO46" i="1"/>
  <c r="CD100" i="1"/>
  <c r="CE100" i="1"/>
  <c r="AG125" i="1"/>
  <c r="AO125" i="1"/>
  <c r="AW130" i="1"/>
  <c r="AU130" i="1"/>
  <c r="AE126" i="1"/>
  <c r="AN125" i="1"/>
  <c r="AS124" i="1"/>
  <c r="AS122" i="1"/>
  <c r="AQ122" i="1"/>
  <c r="BB105" i="1"/>
  <c r="AL56" i="1"/>
  <c r="AH56" i="1"/>
  <c r="BE117" i="1"/>
  <c r="AL54" i="1"/>
  <c r="AL52" i="1"/>
  <c r="AO133" i="1"/>
  <c r="BE116" i="1"/>
  <c r="BD101" i="1"/>
  <c r="BH115" i="1"/>
  <c r="AV132" i="1"/>
  <c r="BJ115" i="1"/>
  <c r="AX132" i="1"/>
  <c r="AP48" i="1"/>
  <c r="AP128" i="1"/>
  <c r="BC117" i="1"/>
  <c r="AM132" i="1"/>
  <c r="BB117" i="1"/>
  <c r="AF132" i="1"/>
  <c r="CD101" i="1"/>
  <c r="CE101" i="1"/>
  <c r="AM48" i="1"/>
  <c r="AK52" i="1"/>
  <c r="AY116" i="1"/>
  <c r="AG129" i="1"/>
  <c r="BA116" i="1"/>
  <c r="D52" i="1"/>
  <c r="AN129" i="1"/>
  <c r="AQ128" i="1"/>
  <c r="BC118" i="1"/>
  <c r="AM134" i="1"/>
  <c r="AK54" i="1"/>
  <c r="AY117" i="1"/>
  <c r="T52" i="1"/>
  <c r="I52" i="1"/>
  <c r="BG117" i="1"/>
  <c r="AU136" i="1"/>
  <c r="U52" i="1"/>
  <c r="J52" i="1"/>
  <c r="BI117" i="1"/>
  <c r="AW136" i="1"/>
  <c r="BA102" i="1"/>
  <c r="BF115" i="1"/>
  <c r="AI128" i="1"/>
  <c r="BJ101" i="1"/>
  <c r="O51" i="1"/>
  <c r="C51" i="1"/>
  <c r="AV103" i="1"/>
  <c r="AE52" i="1"/>
  <c r="BI103" i="1"/>
  <c r="AV118" i="1"/>
  <c r="AE134" i="1"/>
  <c r="BF102" i="1"/>
  <c r="AO50" i="1"/>
  <c r="AY102" i="1"/>
  <c r="F60" i="1"/>
  <c r="AX121" i="1"/>
  <c r="AX107" i="1"/>
  <c r="BC106" i="1"/>
  <c r="AJ58" i="1"/>
  <c r="AI58" i="1"/>
  <c r="BE106" i="1"/>
  <c r="AH58" i="1"/>
  <c r="AU120" i="1"/>
  <c r="AD58" i="1"/>
  <c r="E62" i="1"/>
  <c r="AW105" i="1"/>
  <c r="AG56" i="1"/>
  <c r="BD119" i="1"/>
  <c r="AK136" i="1"/>
  <c r="AD136" i="1"/>
  <c r="N54" i="1"/>
  <c r="Y52" i="1"/>
  <c r="Z52" i="1"/>
  <c r="X54" i="1"/>
  <c r="AE132" i="1"/>
  <c r="AG131" i="1"/>
  <c r="AO131" i="1"/>
  <c r="AN131" i="1"/>
  <c r="S59" i="1"/>
  <c r="H59" i="1"/>
  <c r="G60" i="1"/>
  <c r="AW121" i="1"/>
  <c r="G58" i="1"/>
  <c r="AW120" i="1"/>
  <c r="AL138" i="1"/>
  <c r="AQ134" i="1"/>
  <c r="AQ132" i="1"/>
  <c r="BC119" i="1"/>
  <c r="AM136" i="1"/>
  <c r="BE118" i="1"/>
  <c r="AN48" i="1"/>
  <c r="AS128" i="1"/>
  <c r="BG102" i="1"/>
  <c r="AF50" i="1"/>
  <c r="BD102" i="1"/>
  <c r="U54" i="1"/>
  <c r="J54" i="1"/>
  <c r="BI118" i="1"/>
  <c r="AW138" i="1"/>
  <c r="T54" i="1"/>
  <c r="I54" i="1"/>
  <c r="BG118" i="1"/>
  <c r="AU138" i="1"/>
  <c r="BH104" i="1"/>
  <c r="AZ117" i="1"/>
  <c r="BB118" i="1"/>
  <c r="AF134" i="1"/>
  <c r="BA103" i="1"/>
  <c r="AF52" i="1"/>
  <c r="AH131" i="1"/>
  <c r="BF116" i="1"/>
  <c r="AI130" i="1"/>
  <c r="BJ102" i="1"/>
  <c r="AN133" i="1"/>
  <c r="AK56" i="1"/>
  <c r="AQ136" i="1"/>
  <c r="AY118" i="1"/>
  <c r="CD102" i="1"/>
  <c r="CE102" i="1"/>
  <c r="AM50" i="1"/>
  <c r="BA117" i="1"/>
  <c r="D54" i="1"/>
  <c r="O53" i="1"/>
  <c r="C53" i="1"/>
  <c r="Y54" i="1"/>
  <c r="Z54" i="1"/>
  <c r="X56" i="1"/>
  <c r="AV119" i="1"/>
  <c r="AE136" i="1"/>
  <c r="N56" i="1"/>
  <c r="AL140" i="1"/>
  <c r="AL142" i="1"/>
  <c r="AU121" i="1"/>
  <c r="AD60" i="1"/>
  <c r="BE107" i="1"/>
  <c r="AH60" i="1"/>
  <c r="AO135" i="1"/>
  <c r="BC107" i="1"/>
  <c r="AJ60" i="1"/>
  <c r="AI60" i="1"/>
  <c r="BD103" i="1"/>
  <c r="BB106" i="1"/>
  <c r="AV104" i="1"/>
  <c r="AE54" i="1"/>
  <c r="BI104" i="1"/>
  <c r="F62" i="1"/>
  <c r="AX122" i="1"/>
  <c r="AX108" i="1"/>
  <c r="S61" i="1"/>
  <c r="H61" i="1"/>
  <c r="BD120" i="1"/>
  <c r="AK138" i="1"/>
  <c r="AD138" i="1"/>
  <c r="AW106" i="1"/>
  <c r="AG58" i="1"/>
  <c r="AJ142" i="1"/>
  <c r="AJ140" i="1"/>
  <c r="AY103" i="1"/>
  <c r="BF103" i="1"/>
  <c r="AO52" i="1"/>
  <c r="AR128" i="1"/>
  <c r="BE119" i="1"/>
  <c r="AL58" i="1"/>
  <c r="AO137" i="1"/>
  <c r="BC120" i="1"/>
  <c r="AM138" i="1"/>
  <c r="BG103" i="1"/>
  <c r="BJ117" i="1"/>
  <c r="AX136" i="1"/>
  <c r="BJ116" i="1"/>
  <c r="AX134" i="1"/>
  <c r="AP50" i="1"/>
  <c r="AP132" i="1"/>
  <c r="BH117" i="1"/>
  <c r="AV136" i="1"/>
  <c r="AN52" i="1"/>
  <c r="BH116" i="1"/>
  <c r="AV134" i="1"/>
  <c r="AN50" i="1"/>
  <c r="AS130" i="1"/>
  <c r="AH129" i="1"/>
  <c r="AP130" i="1"/>
  <c r="AN135" i="1"/>
  <c r="BA104" i="1"/>
  <c r="AF54" i="1"/>
  <c r="AH133" i="1"/>
  <c r="BF117" i="1"/>
  <c r="AI132" i="1"/>
  <c r="BJ103" i="1"/>
  <c r="CD103" i="1"/>
  <c r="CE103" i="1"/>
  <c r="AM52" i="1"/>
  <c r="AK58" i="1"/>
  <c r="AY119" i="1"/>
  <c r="AG133" i="1"/>
  <c r="T56" i="1"/>
  <c r="I56" i="1"/>
  <c r="BG119" i="1"/>
  <c r="AU140" i="1"/>
  <c r="U56" i="1"/>
  <c r="J56" i="1"/>
  <c r="BI119" i="1"/>
  <c r="AW140" i="1"/>
  <c r="BA118" i="1"/>
  <c r="D56" i="1"/>
  <c r="BH105" i="1"/>
  <c r="AZ118" i="1"/>
  <c r="BB119" i="1"/>
  <c r="AF136" i="1"/>
  <c r="O55" i="1"/>
  <c r="C55" i="1"/>
  <c r="BB107" i="1"/>
  <c r="AN137" i="1"/>
  <c r="AU122" i="1"/>
  <c r="AD62" i="1"/>
  <c r="BE108" i="1"/>
  <c r="AH62" i="1"/>
  <c r="BF104" i="1"/>
  <c r="AO54" i="1"/>
  <c r="AY104" i="1"/>
  <c r="BD121" i="1"/>
  <c r="AK140" i="1"/>
  <c r="AD140" i="1"/>
  <c r="Y56" i="1"/>
  <c r="Z56" i="1"/>
  <c r="X58" i="1"/>
  <c r="AI62" i="1"/>
  <c r="BC108" i="1"/>
  <c r="AJ62" i="1"/>
  <c r="AG60" i="1"/>
  <c r="AW107" i="1"/>
  <c r="AV120" i="1"/>
  <c r="N58" i="1"/>
  <c r="AV105" i="1"/>
  <c r="AE56" i="1"/>
  <c r="G62" i="1"/>
  <c r="AW122" i="1"/>
  <c r="BI105" i="1"/>
  <c r="AS132" i="1"/>
  <c r="AP134" i="1"/>
  <c r="BD104" i="1"/>
  <c r="BH118" i="1"/>
  <c r="AV138" i="1"/>
  <c r="AP52" i="1"/>
  <c r="BE120" i="1"/>
  <c r="AL60" i="1"/>
  <c r="AO139" i="1"/>
  <c r="AQ138" i="1"/>
  <c r="BG104" i="1"/>
  <c r="AP54" i="1"/>
  <c r="AR132" i="1"/>
  <c r="BJ118" i="1"/>
  <c r="AX138" i="1"/>
  <c r="AR130" i="1"/>
  <c r="BC121" i="1"/>
  <c r="AM140" i="1"/>
  <c r="BA105" i="1"/>
  <c r="BD105" i="1"/>
  <c r="BF118" i="1"/>
  <c r="BH106" i="1"/>
  <c r="AZ119" i="1"/>
  <c r="BB120" i="1"/>
  <c r="AF138" i="1"/>
  <c r="BA119" i="1"/>
  <c r="D58" i="1"/>
  <c r="AG135" i="1"/>
  <c r="T58" i="1"/>
  <c r="I58" i="1"/>
  <c r="BG120" i="1"/>
  <c r="AU142" i="1"/>
  <c r="U58" i="1"/>
  <c r="J58" i="1"/>
  <c r="BI120" i="1"/>
  <c r="AW142" i="1"/>
  <c r="AI134" i="1"/>
  <c r="BJ104" i="1"/>
  <c r="AE138" i="1"/>
  <c r="AK60" i="1"/>
  <c r="AY120" i="1"/>
  <c r="CD104" i="1"/>
  <c r="CE104" i="1"/>
  <c r="AM54" i="1"/>
  <c r="O57" i="1"/>
  <c r="C57" i="1"/>
  <c r="BD122" i="1"/>
  <c r="AK142" i="1"/>
  <c r="AD142" i="1"/>
  <c r="BF105" i="1"/>
  <c r="AO56" i="1"/>
  <c r="AY105" i="1"/>
  <c r="Y58" i="1"/>
  <c r="Z58" i="1"/>
  <c r="X60" i="1"/>
  <c r="AG62" i="1"/>
  <c r="AW108" i="1"/>
  <c r="BB108" i="1"/>
  <c r="AV121" i="1"/>
  <c r="AN139" i="1"/>
  <c r="AE140" i="1"/>
  <c r="AV106" i="1"/>
  <c r="AE58" i="1"/>
  <c r="AN54" i="1"/>
  <c r="AS134" i="1"/>
  <c r="AQ140" i="1"/>
  <c r="BE121" i="1"/>
  <c r="AL62" i="1"/>
  <c r="AO141" i="1"/>
  <c r="AR134" i="1"/>
  <c r="BH119" i="1"/>
  <c r="AV140" i="1"/>
  <c r="AN56" i="1"/>
  <c r="BG105" i="1"/>
  <c r="AF56" i="1"/>
  <c r="BI106" i="1"/>
  <c r="BA106" i="1"/>
  <c r="U60" i="1"/>
  <c r="J60" i="1"/>
  <c r="BI121" i="1"/>
  <c r="AW144" i="1"/>
  <c r="T60" i="1"/>
  <c r="I60" i="1"/>
  <c r="BG121" i="1"/>
  <c r="AU144" i="1"/>
  <c r="BA120" i="1"/>
  <c r="D60" i="1"/>
  <c r="BH107" i="1"/>
  <c r="AZ120" i="1"/>
  <c r="BB121" i="1"/>
  <c r="AF140" i="1"/>
  <c r="AK62" i="1"/>
  <c r="AY121" i="1"/>
  <c r="CD105" i="1"/>
  <c r="CE105" i="1"/>
  <c r="AM56" i="1"/>
  <c r="AR136" i="1"/>
  <c r="AG137" i="1"/>
  <c r="AI136" i="1"/>
  <c r="BJ105" i="1"/>
  <c r="BC122" i="1"/>
  <c r="AM142" i="1"/>
  <c r="O59" i="1"/>
  <c r="C59" i="1"/>
  <c r="AV122" i="1"/>
  <c r="AV107" i="1"/>
  <c r="AE60" i="1"/>
  <c r="Y60" i="1"/>
  <c r="Z60" i="1"/>
  <c r="X62" i="1"/>
  <c r="Y62" i="1"/>
  <c r="BF106" i="1"/>
  <c r="AO58" i="1"/>
  <c r="AY106" i="1"/>
  <c r="AR121" i="1"/>
  <c r="AS121" i="1"/>
  <c r="AN141" i="1"/>
  <c r="AE142" i="1"/>
  <c r="AU146" i="1"/>
  <c r="AQ142" i="1"/>
  <c r="AS136" i="1"/>
  <c r="BF119" i="1"/>
  <c r="BG106" i="1"/>
  <c r="AF58" i="1"/>
  <c r="BD106" i="1"/>
  <c r="BJ119" i="1"/>
  <c r="AX140" i="1"/>
  <c r="AP56" i="1"/>
  <c r="AH135" i="1"/>
  <c r="AP136" i="1"/>
  <c r="AW146" i="1"/>
  <c r="BI107" i="1"/>
  <c r="BA107" i="1"/>
  <c r="AF60" i="1"/>
  <c r="AH139" i="1"/>
  <c r="BA121" i="1"/>
  <c r="D62" i="1"/>
  <c r="BA122" i="1"/>
  <c r="BJ108" i="1"/>
  <c r="CD106" i="1"/>
  <c r="CE106" i="1"/>
  <c r="AM58" i="1"/>
  <c r="AG139" i="1"/>
  <c r="U62" i="1"/>
  <c r="J62" i="1"/>
  <c r="BI122" i="1"/>
  <c r="T62" i="1"/>
  <c r="I62" i="1"/>
  <c r="BG122" i="1"/>
  <c r="AI138" i="1"/>
  <c r="BJ106" i="1"/>
  <c r="BH108" i="1"/>
  <c r="AZ121" i="1"/>
  <c r="BB122" i="1"/>
  <c r="AF142" i="1"/>
  <c r="Z62" i="1"/>
  <c r="AY107" i="1"/>
  <c r="BF107" i="1"/>
  <c r="AO60" i="1"/>
  <c r="AV108" i="1"/>
  <c r="AE62" i="1"/>
  <c r="BH120" i="1"/>
  <c r="AV142" i="1"/>
  <c r="AN58" i="1"/>
  <c r="AS138" i="1"/>
  <c r="BJ120" i="1"/>
  <c r="AX142" i="1"/>
  <c r="AP58" i="1"/>
  <c r="AH137" i="1"/>
  <c r="AP138" i="1"/>
  <c r="AP140" i="1"/>
  <c r="AR138" i="1"/>
  <c r="BF120" i="1"/>
  <c r="BD107" i="1"/>
  <c r="BG107" i="1"/>
  <c r="BI108" i="1"/>
  <c r="BA108" i="1"/>
  <c r="AF62" i="1"/>
  <c r="AP142" i="1"/>
  <c r="AG141" i="1"/>
  <c r="CD107" i="1"/>
  <c r="CE107" i="1"/>
  <c r="AM60" i="1"/>
  <c r="BJ107" i="1"/>
  <c r="AI142" i="1"/>
  <c r="AI140" i="1"/>
  <c r="BF108" i="1"/>
  <c r="AO62" i="1"/>
  <c r="AY108" i="1"/>
  <c r="BF121" i="1"/>
  <c r="BJ121" i="1"/>
  <c r="AX144" i="1"/>
  <c r="AP60" i="1"/>
  <c r="AQ120" i="1"/>
  <c r="AH141" i="1"/>
  <c r="AP120" i="1"/>
  <c r="AR120" i="1"/>
  <c r="BH121" i="1"/>
  <c r="AV144" i="1"/>
  <c r="AN60" i="1"/>
  <c r="AS140" i="1"/>
  <c r="BD108" i="1"/>
  <c r="BG108" i="1"/>
  <c r="CD108" i="1"/>
  <c r="CE108" i="1"/>
  <c r="CE109" i="1"/>
  <c r="CD110" i="1"/>
  <c r="AM62" i="1"/>
  <c r="AR140" i="1"/>
  <c r="BJ122" i="1"/>
  <c r="AX146" i="1"/>
  <c r="AP62" i="1"/>
  <c r="BH122" i="1"/>
  <c r="AV146" i="1"/>
  <c r="AN62" i="1"/>
  <c r="AS142" i="1"/>
  <c r="CD109" i="1"/>
  <c r="AR142" i="1"/>
</calcChain>
</file>

<file path=xl/comments1.xml><?xml version="1.0" encoding="utf-8"?>
<comments xmlns="http://schemas.openxmlformats.org/spreadsheetml/2006/main">
  <authors>
    <author>Johs Totland</author>
  </authors>
  <commentList>
    <comment ref="Q4" authorId="0" shapeId="0">
      <text>
        <r>
          <rPr>
            <sz val="9"/>
            <color indexed="81"/>
            <rFont val="Calibri"/>
            <family val="2"/>
            <scheme val="minor"/>
          </rPr>
          <t>Har du oppgitt totale kost--nader (STK) i oppgaven må du huske å trekke fra faste totale kostnader (VTK=STK-FTK)</t>
        </r>
      </text>
    </comment>
    <comment ref="D12" authorId="0" shapeId="0">
      <text>
        <r>
          <rPr>
            <sz val="9"/>
            <color indexed="81"/>
            <rFont val="Calibri"/>
            <family val="2"/>
            <scheme val="minor"/>
          </rPr>
          <t>Dersom de variable enhetskostnadene er ullike bruker du tabellen til høyre</t>
        </r>
      </text>
    </comment>
    <comment ref="B14" authorId="0" shapeId="0">
      <text>
        <r>
          <rPr>
            <sz val="8"/>
            <color indexed="81"/>
            <rFont val="Tahoma"/>
            <family val="2"/>
          </rPr>
          <t>Navn kan være Utlandet, Danmark, Tilleggsordre osv</t>
        </r>
      </text>
    </comment>
    <comment ref="F25" authorId="0" shapeId="0">
      <text>
        <r>
          <rPr>
            <sz val="9"/>
            <color indexed="81"/>
            <rFont val="Calibri"/>
            <family val="2"/>
          </rPr>
          <t>Pris (kr/enh) finner du på kr-aksen</t>
        </r>
      </text>
    </comment>
    <comment ref="G25" authorId="0" shape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<sst xmlns="http://schemas.openxmlformats.org/spreadsheetml/2006/main" count="193" uniqueCount="152">
  <si>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</si>
  <si>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</si>
  <si>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</si>
  <si>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</si>
  <si>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</si>
  <si>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</si>
  <si>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</si>
  <si>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</si>
  <si>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</si>
  <si>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</si>
  <si>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</si>
  <si>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</si>
  <si>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</si>
  <si>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</si>
  <si>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</si>
  <si>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</si>
  <si>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</si>
  <si>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</si>
  <si>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</si>
  <si>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</si>
  <si>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</si>
  <si>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</si>
  <si>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</si>
  <si>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</si>
  <si>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</si>
  <si>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</si>
  <si>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</si>
  <si>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</si>
  <si>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</si>
  <si>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</si>
  <si>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</si>
  <si>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</si>
  <si>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</si>
  <si>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</si>
  <si>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</si>
  <si>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</si>
  <si>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</si>
  <si>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</si>
  <si>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</si>
  <si>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</si>
  <si>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</si>
  <si>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</si>
  <si>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</si>
  <si>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</si>
  <si>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</si>
  <si>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</si>
  <si>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</si>
  <si>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</si>
  <si>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</si>
  <si>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</si>
  <si>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</si>
  <si>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</si>
  <si>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</si>
  <si>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</si>
  <si>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</si>
  <si>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</si>
  <si>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</si>
  <si>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</si>
  <si>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</si>
  <si>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</si>
  <si>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</si>
  <si>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</si>
  <si>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</si>
  <si>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</si>
  <si>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</si>
  <si>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</si>
  <si>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</si>
  <si>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</si>
  <si>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</si>
  <si>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</si>
  <si>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</si>
  <si>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</si>
  <si>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</si>
  <si>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</si>
  <si>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</si>
  <si>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</si>
  <si>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</si>
  <si>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</si>
  <si>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</si>
  <si>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</si>
  <si>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</si>
  <si>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</si>
  <si>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</si>
  <si>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</si>
  <si>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</si>
  <si>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</si>
  <si>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</si>
  <si>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</si>
  <si>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</si>
  <si>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</si>
  <si>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</si>
  <si>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</si>
  <si>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</si>
  <si>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</si>
  <si>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</si>
  <si>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</si>
  <si>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</si>
  <si>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</si>
  <si>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</si>
  <si>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</si>
  <si>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</si>
  <si>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</si>
  <si>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</si>
  <si>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</si>
  <si>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</si>
  <si>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</si>
  <si>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</si>
  <si>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</si>
  <si>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</si>
  <si>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</si>
  <si>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</si>
  <si>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</si>
  <si>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</si>
  <si>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</si>
  <si>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</si>
  <si>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</si>
  <si>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</si>
  <si>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</si>
  <si>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</si>
  <si>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</si>
  <si>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</si>
  <si>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</si>
  <si>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</si>
  <si>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</si>
  <si>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</si>
  <si>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</si>
  <si>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</si>
  <si>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</si>
  <si>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</si>
  <si>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</si>
  <si>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</si>
  <si>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t>Berergning av priselastisitet</t>
  </si>
  <si>
    <t>Endring mengde</t>
  </si>
  <si>
    <t>Priselastisitet (ep)</t>
  </si>
  <si>
    <r>
      <t xml:space="preserve">Registrering av inndata </t>
    </r>
    <r>
      <rPr>
        <sz val="14"/>
        <rFont val="Calibri"/>
        <family val="2"/>
        <scheme val="minor"/>
      </rPr>
      <t>(fortsatt)</t>
    </r>
  </si>
  <si>
    <t>Prisdifferensiering/tilleggsordre</t>
  </si>
  <si>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</si>
  <si>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</si>
  <si>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Endring av forutsetninger</t>
  </si>
  <si>
    <t>Her ser en at når de variable enhetskostnadene minker, vil kurvene for</t>
  </si>
  <si>
    <t>Modellen gir muligheter til å simulere endringer i pris, variable enhetskotnader</t>
  </si>
  <si>
    <t>der myndighetene vurderer å gi en avgiftsreduksjon på kr 1 000 per sykkel</t>
  </si>
  <si>
    <t>Beregning av priselastisitet</t>
  </si>
  <si>
    <t>Denne modellen beregner priselastisitet på grunnlag av registrerte inndata.</t>
  </si>
  <si>
    <t xml:space="preserve"> og faste kostader. Bildet nedenfor viser løsning for eksamen V2014, </t>
  </si>
  <si>
    <t>Endring i mengde/gammel mengde</t>
  </si>
  <si>
    <t>Endring i pris/ny pris</t>
  </si>
  <si>
    <t>Modellen bruker følgende formel for ep:</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</si>
  <si>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</si>
  <si>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</si>
  <si>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Merk at dersom dataene ikke passer, vil modellen gi feil i cellen for eksempel #REF eller #VERDI.</t>
  </si>
  <si>
    <t>VEK, SEK og DEK falle. Modellen viser de nye kostnadene som stiplede 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</si>
</sst>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 numFmtId="174" formatCode="#,##0.00;[Red]#,##0.00"/>
  </numFmts>
  <fonts count="33">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amily val="2"/>
    </font>
    <font>
      <sz val="10"/>
      <name val="Arial"/>
      <family val="2"/>
    </font>
    <font>
      <b/>
      <sz val="10"/>
      <color rgb="FFFF0000"/>
      <name val="Calibri"/>
      <family val="2"/>
      <scheme val="minor"/>
    </font>
    <font>
      <sz val="10"/>
      <name val="Calibri"/>
      <family val="2"/>
      <scheme val="minor"/>
    </font>
    <font>
      <b/>
      <sz val="12"/>
      <name val="Calibri"/>
      <family val="2"/>
      <scheme val="minor"/>
    </font>
    <font>
      <b/>
      <sz val="14"/>
      <name val="Calibri"/>
      <family val="2"/>
      <scheme val="minor"/>
    </font>
    <font>
      <sz val="14"/>
      <name val="Calibri"/>
      <family val="2"/>
      <scheme val="minor"/>
    </font>
    <font>
      <sz val="11"/>
      <name val="Calibri"/>
      <family val="2"/>
      <scheme val="minor"/>
    </font>
    <font>
      <b/>
      <sz val="12"/>
      <name val="Calibri (Brødtekst)"/>
    </font>
    <font>
      <sz val="11"/>
      <color rgb="FFFF0000"/>
      <name val="Calibri"/>
      <family val="2"/>
      <scheme val="minor"/>
    </font>
    <font>
      <u/>
      <sz val="11"/>
      <name val="Calibri"/>
      <family val="2"/>
      <scheme val="minor"/>
    </font>
  </fonts>
  <fills count="16">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59">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42">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15" borderId="8" xfId="0" quotePrefix="1" applyFont="1" applyFill="1" applyBorder="1" applyAlignment="1" applyProtection="1">
      <alignment horizontal="left"/>
    </xf>
    <xf numFmtId="0" fontId="2" fillId="15" borderId="8" xfId="0" quotePrefix="1" applyFont="1" applyFill="1" applyBorder="1" applyAlignment="1" applyProtection="1">
      <alignment horizontal="center"/>
    </xf>
    <xf numFmtId="0" fontId="2" fillId="15" borderId="8" xfId="0" applyFont="1" applyFill="1" applyBorder="1" applyAlignment="1" applyProtection="1">
      <alignment horizontal="center"/>
    </xf>
    <xf numFmtId="0" fontId="2" fillId="15" borderId="8" xfId="0" applyFont="1" applyFill="1" applyBorder="1" applyProtection="1"/>
    <xf numFmtId="174" fontId="2" fillId="15" borderId="8" xfId="0" quotePrefix="1" applyNumberFormat="1" applyFont="1" applyFill="1" applyBorder="1" applyAlignment="1" applyProtection="1">
      <alignment horizontal="center"/>
    </xf>
    <xf numFmtId="174" fontId="2" fillId="15" borderId="8" xfId="0" applyNumberFormat="1" applyFont="1" applyFill="1" applyBorder="1" applyAlignment="1" applyProtection="1">
      <alignment horizontal="center"/>
    </xf>
    <xf numFmtId="0" fontId="29" fillId="0" borderId="0" xfId="0" applyFont="1" applyAlignment="1">
      <alignment horizontal="center"/>
      <protection locked="0"/>
    </xf>
    <xf numFmtId="0" fontId="32" fillId="0" borderId="0" xfId="0" applyFont="1" applyAlignment="1">
      <alignment horizontal="center"/>
      <protection locked="0"/>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59">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Markedstilpasning!$AV$98:$AV$105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0-A5AB-4845-AE52-671BCD3E143D}"/>
            </c:ext>
          </c:extLst>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A5AB-4845-AE52-671BCD3E143D}"/>
            </c:ext>
          </c:extLst>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A5AB-4845-AE52-671BCD3E143D}"/>
            </c:ext>
          </c:extLst>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Markedstilpasning!$AY$98:$AY$105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3-A5AB-4845-AE52-671BCD3E143D}"/>
            </c:ext>
          </c:extLst>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A5AB-4845-AE52-671BCD3E143D}"/>
            </c:ext>
          </c:extLst>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Markedstilpasning!$BA$98:$BA$105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5-A5AB-4845-AE52-671BCD3E143D}"/>
            </c:ext>
          </c:extLst>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A5AB-4845-AE52-671BCD3E143D}"/>
            </c:ext>
          </c:extLst>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A5AB-4845-AE52-671BCD3E143D}"/>
            </c:ext>
          </c:extLst>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Markedstilpasning!$BD$98:$BD$105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8-A5AB-4845-AE52-671BCD3E143D}"/>
            </c:ext>
          </c:extLst>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A5AB-4845-AE52-671BCD3E143D}"/>
            </c:ext>
          </c:extLst>
        </c:ser>
        <c:dLbls>
          <c:showLegendKey val="0"/>
          <c:showVal val="0"/>
          <c:showCatName val="0"/>
          <c:showSerName val="0"/>
          <c:showPercent val="0"/>
          <c:showBubbleSize val="0"/>
        </c:dLbls>
        <c:smooth val="0"/>
        <c:axId val="-147791360"/>
        <c:axId val="-198276272"/>
      </c:lineChart>
      <c:catAx>
        <c:axId val="-147791360"/>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198276272"/>
        <c:crosses val="autoZero"/>
        <c:auto val="0"/>
        <c:lblAlgn val="ctr"/>
        <c:lblOffset val="100"/>
        <c:tickLblSkip val="1"/>
        <c:tickMarkSkip val="1"/>
        <c:noMultiLvlLbl val="0"/>
      </c:catAx>
      <c:valAx>
        <c:axId val="-198276272"/>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47791360"/>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Markedstilpasning!$AV$112:$AV$119</c:f>
              <c:numCache>
                <c:formatCode>#,##0_);[Red]\(#,##0\)</c:formatCode>
                <c:ptCount val="8"/>
                <c:pt idx="0">
                  <c:v>24</c:v>
                </c:pt>
                <c:pt idx="1">
                  <c:v>22</c:v>
                </c:pt>
                <c:pt idx="2">
                  <c:v>20</c:v>
                </c:pt>
                <c:pt idx="3">
                  <c:v>18</c:v>
                </c:pt>
                <c:pt idx="4">
                  <c:v>16</c:v>
                </c:pt>
                <c:pt idx="5">
                  <c:v>14</c:v>
                </c:pt>
                <c:pt idx="6">
                  <c:v>12</c:v>
                </c:pt>
                <c:pt idx="7">
                  <c:v>10</c:v>
                </c:pt>
              </c:numCache>
            </c:numRef>
          </c:val>
          <c:smooth val="1"/>
          <c:extLst>
            <c:ext xmlns:c16="http://schemas.microsoft.com/office/drawing/2014/chart" uri="{C3380CC4-5D6E-409C-BE32-E72D297353CC}">
              <c16:uniqueId val="{00000000-EBB5-AF42-A23B-3E17DFA55320}"/>
            </c:ext>
          </c:extLst>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EBB5-AF42-A23B-3E17DFA55320}"/>
            </c:ext>
          </c:extLst>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EBB5-AF42-A23B-3E17DFA55320}"/>
            </c:ext>
          </c:extLst>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EBB5-AF42-A23B-3E17DFA55320}"/>
            </c:ext>
          </c:extLst>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Markedstilpasning!$AZ$112:$AZ$118</c:f>
              <c:numCache>
                <c:formatCode>#,##0_);[Red]\(#,##0\)</c:formatCode>
                <c:ptCount val="7"/>
                <c:pt idx="1">
                  <c:v>20</c:v>
                </c:pt>
                <c:pt idx="2">
                  <c:v>16</c:v>
                </c:pt>
                <c:pt idx="3">
                  <c:v>12</c:v>
                </c:pt>
                <c:pt idx="4">
                  <c:v>8</c:v>
                </c:pt>
                <c:pt idx="5">
                  <c:v>4</c:v>
                </c:pt>
                <c:pt idx="6">
                  <c:v>0</c:v>
                </c:pt>
              </c:numCache>
            </c:numRef>
          </c:val>
          <c:smooth val="1"/>
          <c:extLst>
            <c:ext xmlns:c16="http://schemas.microsoft.com/office/drawing/2014/chart" uri="{C3380CC4-5D6E-409C-BE32-E72D297353CC}">
              <c16:uniqueId val="{00000004-EBB5-AF42-A23B-3E17DFA55320}"/>
            </c:ext>
          </c:extLst>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EBB5-AF42-A23B-3E17DFA55320}"/>
            </c:ext>
          </c:extLst>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Markedstilpasning!$BB$112:$BB$119</c:f>
              <c:numCache>
                <c:formatCode>#,##0_);[Red]\(#,##0\)</c:formatCode>
                <c:ptCount val="8"/>
                <c:pt idx="0">
                  <c:v>24</c:v>
                </c:pt>
                <c:pt idx="1">
                  <c:v>22</c:v>
                </c:pt>
                <c:pt idx="2">
                  <c:v>20</c:v>
                </c:pt>
                <c:pt idx="3">
                  <c:v>18</c:v>
                </c:pt>
                <c:pt idx="4">
                  <c:v>16</c:v>
                </c:pt>
                <c:pt idx="5">
                  <c:v>14</c:v>
                </c:pt>
                <c:pt idx="6">
                  <c:v>12</c:v>
                </c:pt>
                <c:pt idx="7">
                  <c:v>10</c:v>
                </c:pt>
              </c:numCache>
            </c:numRef>
          </c:val>
          <c:smooth val="1"/>
          <c:extLst>
            <c:ext xmlns:c16="http://schemas.microsoft.com/office/drawing/2014/chart" uri="{C3380CC4-5D6E-409C-BE32-E72D297353CC}">
              <c16:uniqueId val="{00000006-EBB5-AF42-A23B-3E17DFA55320}"/>
            </c:ext>
          </c:extLst>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EBB5-AF42-A23B-3E17DFA55320}"/>
            </c:ext>
          </c:extLst>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EBB5-AF42-A23B-3E17DFA55320}"/>
            </c:ext>
          </c:extLst>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EBB5-AF42-A23B-3E17DFA55320}"/>
            </c:ext>
          </c:extLst>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Markedstilpasning!$BF$112:$BF$118</c:f>
              <c:numCache>
                <c:formatCode>#,##0_);[Red]\(#,##0\)</c:formatCode>
                <c:ptCount val="7"/>
                <c:pt idx="1">
                  <c:v>20</c:v>
                </c:pt>
                <c:pt idx="2">
                  <c:v>16</c:v>
                </c:pt>
                <c:pt idx="3">
                  <c:v>12</c:v>
                </c:pt>
                <c:pt idx="4">
                  <c:v>8</c:v>
                </c:pt>
                <c:pt idx="5">
                  <c:v>4</c:v>
                </c:pt>
                <c:pt idx="6">
                  <c:v>0</c:v>
                </c:pt>
              </c:numCache>
            </c:numRef>
          </c:val>
          <c:smooth val="1"/>
          <c:extLst>
            <c:ext xmlns:c16="http://schemas.microsoft.com/office/drawing/2014/chart" uri="{C3380CC4-5D6E-409C-BE32-E72D297353CC}">
              <c16:uniqueId val="{0000000A-EBB5-AF42-A23B-3E17DFA55320}"/>
            </c:ext>
          </c:extLst>
        </c:ser>
        <c:dLbls>
          <c:showLegendKey val="0"/>
          <c:showVal val="0"/>
          <c:showCatName val="0"/>
          <c:showSerName val="0"/>
          <c:showPercent val="0"/>
          <c:showBubbleSize val="0"/>
        </c:dLbls>
        <c:smooth val="0"/>
        <c:axId val="-145081824"/>
        <c:axId val="-145079504"/>
      </c:lineChart>
      <c:catAx>
        <c:axId val="-145081824"/>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145079504"/>
        <c:crosses val="autoZero"/>
        <c:auto val="0"/>
        <c:lblAlgn val="ctr"/>
        <c:lblOffset val="100"/>
        <c:tickLblSkip val="1"/>
        <c:tickMarkSkip val="1"/>
        <c:noMultiLvlLbl val="0"/>
      </c:catAx>
      <c:valAx>
        <c:axId val="-145079504"/>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45081824"/>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0"/>
          <c:order val="0"/>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Markedstilpasning!$AV$112:$AV$119</c:f>
              <c:numCache>
                <c:formatCode>#,##0_);[Red]\(#,##0\)</c:formatCode>
                <c:ptCount val="8"/>
                <c:pt idx="0">
                  <c:v>24</c:v>
                </c:pt>
                <c:pt idx="1">
                  <c:v>22</c:v>
                </c:pt>
                <c:pt idx="2">
                  <c:v>20</c:v>
                </c:pt>
                <c:pt idx="3">
                  <c:v>18</c:v>
                </c:pt>
                <c:pt idx="4">
                  <c:v>16</c:v>
                </c:pt>
                <c:pt idx="5">
                  <c:v>14</c:v>
                </c:pt>
                <c:pt idx="6">
                  <c:v>12</c:v>
                </c:pt>
                <c:pt idx="7">
                  <c:v>10</c:v>
                </c:pt>
              </c:numCache>
            </c:numRef>
          </c:val>
          <c:smooth val="1"/>
          <c:extLst>
            <c:ext xmlns:c16="http://schemas.microsoft.com/office/drawing/2014/chart" uri="{C3380CC4-5D6E-409C-BE32-E72D297353CC}">
              <c16:uniqueId val="{00000000-F9D6-4D44-B3F0-285D33DA869C}"/>
            </c:ext>
          </c:extLst>
        </c:ser>
        <c:ser>
          <c:idx val="6"/>
          <c:order val="1"/>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F9D6-4D44-B3F0-285D33DA869C}"/>
            </c:ext>
          </c:extLst>
        </c:ser>
        <c:ser>
          <c:idx val="1"/>
          <c:order val="2"/>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F9D6-4D44-B3F0-285D33DA869C}"/>
            </c:ext>
          </c:extLst>
        </c:ser>
        <c:ser>
          <c:idx val="4"/>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F9D6-4D44-B3F0-285D33DA869C}"/>
            </c:ext>
          </c:extLst>
        </c:ser>
        <c:ser>
          <c:idx val="3"/>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Markedstilpasning!$AZ$112:$AZ$118</c:f>
              <c:numCache>
                <c:formatCode>#,##0_);[Red]\(#,##0\)</c:formatCode>
                <c:ptCount val="7"/>
                <c:pt idx="1">
                  <c:v>20</c:v>
                </c:pt>
                <c:pt idx="2">
                  <c:v>16</c:v>
                </c:pt>
                <c:pt idx="3">
                  <c:v>12</c:v>
                </c:pt>
                <c:pt idx="4">
                  <c:v>8</c:v>
                </c:pt>
                <c:pt idx="5">
                  <c:v>4</c:v>
                </c:pt>
                <c:pt idx="6">
                  <c:v>0</c:v>
                </c:pt>
              </c:numCache>
            </c:numRef>
          </c:val>
          <c:smooth val="1"/>
          <c:extLst>
            <c:ext xmlns:c16="http://schemas.microsoft.com/office/drawing/2014/chart" uri="{C3380CC4-5D6E-409C-BE32-E72D297353CC}">
              <c16:uniqueId val="{00000004-F9D6-4D44-B3F0-285D33DA869C}"/>
            </c:ext>
          </c:extLst>
        </c:ser>
        <c:ser>
          <c:idx val="2"/>
          <c:order val="5"/>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F9D6-4D44-B3F0-285D33DA869C}"/>
            </c:ext>
          </c:extLst>
        </c:ser>
        <c:ser>
          <c:idx val="5"/>
          <c:order val="6"/>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Markedstilpasning!$BB$112:$BB$119</c:f>
              <c:numCache>
                <c:formatCode>#,##0_);[Red]\(#,##0\)</c:formatCode>
                <c:ptCount val="8"/>
                <c:pt idx="0">
                  <c:v>24</c:v>
                </c:pt>
                <c:pt idx="1">
                  <c:v>22</c:v>
                </c:pt>
                <c:pt idx="2">
                  <c:v>20</c:v>
                </c:pt>
                <c:pt idx="3">
                  <c:v>18</c:v>
                </c:pt>
                <c:pt idx="4">
                  <c:v>16</c:v>
                </c:pt>
                <c:pt idx="5">
                  <c:v>14</c:v>
                </c:pt>
                <c:pt idx="6">
                  <c:v>12</c:v>
                </c:pt>
                <c:pt idx="7">
                  <c:v>10</c:v>
                </c:pt>
              </c:numCache>
            </c:numRef>
          </c:val>
          <c:smooth val="1"/>
          <c:extLst>
            <c:ext xmlns:c16="http://schemas.microsoft.com/office/drawing/2014/chart" uri="{C3380CC4-5D6E-409C-BE32-E72D297353CC}">
              <c16:uniqueId val="{00000006-F9D6-4D44-B3F0-285D33DA869C}"/>
            </c:ext>
          </c:extLst>
        </c:ser>
        <c:ser>
          <c:idx val="10"/>
          <c:order val="7"/>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F9D6-4D44-B3F0-285D33DA869C}"/>
            </c:ext>
          </c:extLst>
        </c:ser>
        <c:ser>
          <c:idx val="7"/>
          <c:order val="8"/>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F9D6-4D44-B3F0-285D33DA869C}"/>
            </c:ext>
          </c:extLst>
        </c:ser>
        <c:ser>
          <c:idx val="8"/>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F9D6-4D44-B3F0-285D33DA869C}"/>
            </c:ext>
          </c:extLst>
        </c:ser>
        <c:ser>
          <c:idx val="9"/>
          <c:order val="10"/>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extLst>
              <c:ext xmlns:c16="http://schemas.microsoft.com/office/drawing/2014/chart" uri="{C3380CC4-5D6E-409C-BE32-E72D297353CC}">
                <c16:uniqueId val="{0000000B-F9D6-4D44-B3F0-285D33DA869C}"/>
              </c:ext>
            </c:extLst>
          </c:dPt>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Markedstilpasning!$BF$112:$BF$118</c:f>
              <c:numCache>
                <c:formatCode>#,##0_);[Red]\(#,##0\)</c:formatCode>
                <c:ptCount val="7"/>
                <c:pt idx="1">
                  <c:v>20</c:v>
                </c:pt>
                <c:pt idx="2">
                  <c:v>16</c:v>
                </c:pt>
                <c:pt idx="3">
                  <c:v>12</c:v>
                </c:pt>
                <c:pt idx="4">
                  <c:v>8</c:v>
                </c:pt>
                <c:pt idx="5">
                  <c:v>4</c:v>
                </c:pt>
                <c:pt idx="6">
                  <c:v>0</c:v>
                </c:pt>
              </c:numCache>
            </c:numRef>
          </c:val>
          <c:smooth val="1"/>
          <c:extLst>
            <c:ext xmlns:c16="http://schemas.microsoft.com/office/drawing/2014/chart" uri="{C3380CC4-5D6E-409C-BE32-E72D297353CC}">
              <c16:uniqueId val="{0000000C-F9D6-4D44-B3F0-285D33DA869C}"/>
            </c:ext>
          </c:extLst>
        </c:ser>
        <c:dLbls>
          <c:showLegendKey val="0"/>
          <c:showVal val="0"/>
          <c:showCatName val="0"/>
          <c:showSerName val="0"/>
          <c:showPercent val="0"/>
          <c:showBubbleSize val="0"/>
        </c:dLbls>
        <c:marker val="1"/>
        <c:smooth val="0"/>
        <c:axId val="-145019472"/>
        <c:axId val="-145027872"/>
      </c:lineChart>
      <c:catAx>
        <c:axId val="-145019472"/>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45027872"/>
        <c:crosses val="autoZero"/>
        <c:auto val="1"/>
        <c:lblAlgn val="ctr"/>
        <c:lblOffset val="100"/>
        <c:tickLblSkip val="1"/>
        <c:tickMarkSkip val="1"/>
        <c:noMultiLvlLbl val="0"/>
      </c:catAx>
      <c:valAx>
        <c:axId val="-145027872"/>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45019472"/>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Markedstilpasning!$AV$98:$AV$105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0-539A-6E48-8A18-31B201F5B95B}"/>
            </c:ext>
          </c:extLst>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539A-6E48-8A18-31B201F5B95B}"/>
            </c:ext>
          </c:extLst>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539A-6E48-8A18-31B201F5B95B}"/>
            </c:ext>
          </c:extLst>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Markedstilpasning!$AY$98:$AY$105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3-539A-6E48-8A18-31B201F5B95B}"/>
            </c:ext>
          </c:extLst>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539A-6E48-8A18-31B201F5B95B}"/>
            </c:ext>
          </c:extLst>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Markedstilpasning!$BA$98:$BA$105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5-539A-6E48-8A18-31B201F5B95B}"/>
            </c:ext>
          </c:extLst>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539A-6E48-8A18-31B201F5B95B}"/>
            </c:ext>
          </c:extLst>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539A-6E48-8A18-31B201F5B95B}"/>
            </c:ext>
          </c:extLst>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Markedstilpasning!$BD$98:$BD$105</c:f>
              <c:numCache>
                <c:formatCode>0;[Red]\-0</c:formatCode>
                <c:ptCount val="8"/>
                <c:pt idx="0">
                  <c:v>0</c:v>
                </c:pt>
                <c:pt idx="1">
                  <c:v>22000</c:v>
                </c:pt>
                <c:pt idx="2">
                  <c:v>40000</c:v>
                </c:pt>
                <c:pt idx="3">
                  <c:v>54000</c:v>
                </c:pt>
                <c:pt idx="4">
                  <c:v>64000</c:v>
                </c:pt>
                <c:pt idx="5">
                  <c:v>70000</c:v>
                </c:pt>
                <c:pt idx="6">
                  <c:v>72000</c:v>
                </c:pt>
                <c:pt idx="7">
                  <c:v>70000</c:v>
                </c:pt>
              </c:numCache>
            </c:numRef>
          </c:val>
          <c:smooth val="1"/>
          <c:extLst>
            <c:ext xmlns:c16="http://schemas.microsoft.com/office/drawing/2014/chart" uri="{C3380CC4-5D6E-409C-BE32-E72D297353CC}">
              <c16:uniqueId val="{00000008-539A-6E48-8A18-31B201F5B95B}"/>
            </c:ext>
          </c:extLst>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1000</c:v>
                </c:pt>
                <c:pt idx="2">
                  <c:v>2000</c:v>
                </c:pt>
                <c:pt idx="3">
                  <c:v>3000</c:v>
                </c:pt>
                <c:pt idx="4">
                  <c:v>4000</c:v>
                </c:pt>
                <c:pt idx="5">
                  <c:v>5000</c:v>
                </c:pt>
                <c:pt idx="6">
                  <c:v>6000</c:v>
                </c:pt>
                <c:pt idx="7">
                  <c:v>7000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539A-6E48-8A18-31B201F5B95B}"/>
            </c:ext>
          </c:extLst>
        </c:ser>
        <c:dLbls>
          <c:showLegendKey val="0"/>
          <c:showVal val="0"/>
          <c:showCatName val="0"/>
          <c:showSerName val="0"/>
          <c:showPercent val="0"/>
          <c:showBubbleSize val="0"/>
        </c:dLbls>
        <c:marker val="1"/>
        <c:smooth val="0"/>
        <c:axId val="-147293856"/>
        <c:axId val="-147290736"/>
      </c:lineChart>
      <c:catAx>
        <c:axId val="-147293856"/>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147290736"/>
        <c:crosses val="autoZero"/>
        <c:auto val="0"/>
        <c:lblAlgn val="ctr"/>
        <c:lblOffset val="100"/>
        <c:tickLblSkip val="1"/>
        <c:tickMarkSkip val="1"/>
        <c:noMultiLvlLbl val="0"/>
      </c:catAx>
      <c:valAx>
        <c:axId val="-147290736"/>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47293856"/>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a:extLst>
            <a:ext uri="{FF2B5EF4-FFF2-40B4-BE49-F238E27FC236}">
              <a16:creationId xmlns:a16="http://schemas.microsoft.com/office/drawing/2014/main" id="{00000000-0008-0000-0000-00008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a:extLst>
            <a:ext uri="{FF2B5EF4-FFF2-40B4-BE49-F238E27FC236}">
              <a16:creationId xmlns:a16="http://schemas.microsoft.com/office/drawing/2014/main" id="{00000000-0008-0000-0000-000082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66675</xdr:rowOff>
        </xdr:from>
        <xdr:to>
          <xdr:col>2</xdr:col>
          <xdr:colOff>276225</xdr:colOff>
          <xdr:row>0</xdr:row>
          <xdr:rowOff>295275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104775</xdr:colOff>
          <xdr:row>0</xdr:row>
          <xdr:rowOff>66675</xdr:rowOff>
        </xdr:from>
        <xdr:to>
          <xdr:col>6</xdr:col>
          <xdr:colOff>190500</xdr:colOff>
          <xdr:row>0</xdr:row>
          <xdr:rowOff>295275</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200025</xdr:colOff>
          <xdr:row>0</xdr:row>
          <xdr:rowOff>66675</xdr:rowOff>
        </xdr:from>
        <xdr:to>
          <xdr:col>7</xdr:col>
          <xdr:colOff>9525</xdr:colOff>
          <xdr:row>0</xdr:row>
          <xdr:rowOff>295275</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66675</xdr:rowOff>
        </xdr:from>
        <xdr:to>
          <xdr:col>7</xdr:col>
          <xdr:colOff>561975</xdr:colOff>
          <xdr:row>0</xdr:row>
          <xdr:rowOff>295275</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a:extLst>
            <a:ext uri="{FF2B5EF4-FFF2-40B4-BE49-F238E27FC236}">
              <a16:creationId xmlns:a16="http://schemas.microsoft.com/office/drawing/2014/main" id="{00000000-0008-0000-0000-000003000000}"/>
            </a:ext>
          </a:extLst>
        </xdr:cNvPr>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a:extLst>
            <a:ext uri="{FF2B5EF4-FFF2-40B4-BE49-F238E27FC236}">
              <a16:creationId xmlns:a16="http://schemas.microsoft.com/office/drawing/2014/main" id="{00000000-0008-0000-0000-000018000000}"/>
            </a:ext>
          </a:extLst>
        </xdr:cNvPr>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a:extLst>
            <a:ext uri="{FF2B5EF4-FFF2-40B4-BE49-F238E27FC236}">
              <a16:creationId xmlns:a16="http://schemas.microsoft.com/office/drawing/2014/main" id="{00000000-0008-0000-0000-000019000000}"/>
            </a:ext>
          </a:extLst>
        </xdr:cNvPr>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a:extLst>
            <a:ext uri="{FF2B5EF4-FFF2-40B4-BE49-F238E27FC236}">
              <a16:creationId xmlns:a16="http://schemas.microsoft.com/office/drawing/2014/main" id="{00000000-0008-0000-0000-00001A000000}"/>
            </a:ext>
          </a:extLst>
        </xdr:cNvPr>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a:extLst>
            <a:ext uri="{FF2B5EF4-FFF2-40B4-BE49-F238E27FC236}">
              <a16:creationId xmlns:a16="http://schemas.microsoft.com/office/drawing/2014/main" id="{00000000-0008-0000-0000-000007000000}"/>
            </a:ext>
          </a:extLst>
        </xdr:cNvPr>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a:extLst>
            <a:ext uri="{FF2B5EF4-FFF2-40B4-BE49-F238E27FC236}">
              <a16:creationId xmlns:a16="http://schemas.microsoft.com/office/drawing/2014/main" id="{00000000-0008-0000-0000-00001D000000}"/>
            </a:ext>
          </a:extLst>
        </xdr:cNvPr>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a:extLst>
            <a:ext uri="{FF2B5EF4-FFF2-40B4-BE49-F238E27FC236}">
              <a16:creationId xmlns:a16="http://schemas.microsoft.com/office/drawing/2014/main" id="{00000000-0008-0000-0000-00001E000000}"/>
            </a:ext>
          </a:extLst>
        </xdr:cNvPr>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a:extLst>
            <a:ext uri="{FF2B5EF4-FFF2-40B4-BE49-F238E27FC236}">
              <a16:creationId xmlns:a16="http://schemas.microsoft.com/office/drawing/2014/main" id="{00000000-0008-0000-0000-00001F000000}"/>
            </a:ext>
          </a:extLst>
        </xdr:cNvPr>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a:extLst>
            <a:ext uri="{FF2B5EF4-FFF2-40B4-BE49-F238E27FC236}">
              <a16:creationId xmlns:a16="http://schemas.microsoft.com/office/drawing/2014/main" id="{00000000-0008-0000-0000-000020000000}"/>
            </a:ext>
          </a:extLst>
        </xdr:cNvPr>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a:extLst>
            <a:ext uri="{FF2B5EF4-FFF2-40B4-BE49-F238E27FC236}">
              <a16:creationId xmlns:a16="http://schemas.microsoft.com/office/drawing/2014/main" id="{00000000-0008-0000-0000-000021000000}"/>
            </a:ext>
          </a:extLst>
        </xdr:cNvPr>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a:extLst>
            <a:ext uri="{FF2B5EF4-FFF2-40B4-BE49-F238E27FC236}">
              <a16:creationId xmlns:a16="http://schemas.microsoft.com/office/drawing/2014/main" id="{00000000-0008-0000-0000-000002000000}"/>
            </a:ext>
          </a:extLst>
        </xdr:cNvPr>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a:extLst>
            <a:ext uri="{FF2B5EF4-FFF2-40B4-BE49-F238E27FC236}">
              <a16:creationId xmlns:a16="http://schemas.microsoft.com/office/drawing/2014/main" id="{00000000-0008-0000-0000-000022000000}"/>
            </a:ext>
          </a:extLst>
        </xdr:cNvPr>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a:extLst>
            <a:ext uri="{FF2B5EF4-FFF2-40B4-BE49-F238E27FC236}">
              <a16:creationId xmlns:a16="http://schemas.microsoft.com/office/drawing/2014/main" id="{00000000-0008-0000-0000-000023000000}"/>
            </a:ext>
          </a:extLst>
        </xdr:cNvPr>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a:extLst>
            <a:ext uri="{FF2B5EF4-FFF2-40B4-BE49-F238E27FC236}">
              <a16:creationId xmlns:a16="http://schemas.microsoft.com/office/drawing/2014/main" id="{00000000-0008-0000-0000-000024000000}"/>
            </a:ext>
          </a:extLst>
        </xdr:cNvPr>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a:extLst>
            <a:ext uri="{FF2B5EF4-FFF2-40B4-BE49-F238E27FC236}">
              <a16:creationId xmlns:a16="http://schemas.microsoft.com/office/drawing/2014/main" id="{00000000-0008-0000-0000-000026000000}"/>
            </a:ext>
          </a:extLst>
        </xdr:cNvPr>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a:extLst>
            <a:ext uri="{FF2B5EF4-FFF2-40B4-BE49-F238E27FC236}">
              <a16:creationId xmlns:a16="http://schemas.microsoft.com/office/drawing/2014/main" id="{00000000-0008-0000-0000-000027000000}"/>
            </a:ext>
          </a:extLst>
        </xdr:cNvPr>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a:extLst>
            <a:ext uri="{FF2B5EF4-FFF2-40B4-BE49-F238E27FC236}">
              <a16:creationId xmlns:a16="http://schemas.microsoft.com/office/drawing/2014/main" id="{00000000-0008-0000-0000-000028000000}"/>
            </a:ext>
          </a:extLst>
        </xdr:cNvPr>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a:extLst>
            <a:ext uri="{FF2B5EF4-FFF2-40B4-BE49-F238E27FC236}">
              <a16:creationId xmlns:a16="http://schemas.microsoft.com/office/drawing/2014/main" id="{00000000-0008-0000-0000-000029000000}"/>
            </a:ext>
          </a:extLst>
        </xdr:cNvPr>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a:extLst>
            <a:ext uri="{FF2B5EF4-FFF2-40B4-BE49-F238E27FC236}">
              <a16:creationId xmlns:a16="http://schemas.microsoft.com/office/drawing/2014/main" id="{00000000-0008-0000-0000-00002A000000}"/>
            </a:ext>
          </a:extLst>
        </xdr:cNvPr>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a:extLst>
            <a:ext uri="{FF2B5EF4-FFF2-40B4-BE49-F238E27FC236}">
              <a16:creationId xmlns:a16="http://schemas.microsoft.com/office/drawing/2014/main" id="{00000000-0008-0000-0000-00002B000000}"/>
            </a:ext>
          </a:extLst>
        </xdr:cNvPr>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a:extLst>
            <a:ext uri="{FF2B5EF4-FFF2-40B4-BE49-F238E27FC236}">
              <a16:creationId xmlns:a16="http://schemas.microsoft.com/office/drawing/2014/main" id="{00000000-0008-0000-0000-00002C000000}"/>
            </a:ext>
          </a:extLst>
        </xdr:cNvPr>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a:extLst>
            <a:ext uri="{FF2B5EF4-FFF2-40B4-BE49-F238E27FC236}">
              <a16:creationId xmlns:a16="http://schemas.microsoft.com/office/drawing/2014/main" id="{00000000-0008-0000-0000-00002D000000}"/>
            </a:ext>
          </a:extLst>
        </xdr:cNvPr>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a:extLst>
            <a:ext uri="{FF2B5EF4-FFF2-40B4-BE49-F238E27FC236}">
              <a16:creationId xmlns:a16="http://schemas.microsoft.com/office/drawing/2014/main" id="{00000000-0008-0000-0000-000033000000}"/>
            </a:ext>
          </a:extLst>
        </xdr:cNvPr>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a:extLst>
            <a:ext uri="{FF2B5EF4-FFF2-40B4-BE49-F238E27FC236}">
              <a16:creationId xmlns:a16="http://schemas.microsoft.com/office/drawing/2014/main" id="{00000000-0008-0000-0000-000004000000}"/>
            </a:ext>
          </a:extLst>
        </xdr:cNvPr>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276225</xdr:colOff>
          <xdr:row>0</xdr:row>
          <xdr:rowOff>66675</xdr:rowOff>
        </xdr:from>
        <xdr:to>
          <xdr:col>3</xdr:col>
          <xdr:colOff>571500</xdr:colOff>
          <xdr:row>0</xdr:row>
          <xdr:rowOff>295275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66675</xdr:rowOff>
        </xdr:from>
        <xdr:to>
          <xdr:col>5</xdr:col>
          <xdr:colOff>104775</xdr:colOff>
          <xdr:row>0</xdr:row>
          <xdr:rowOff>295275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66675</xdr:rowOff>
        </xdr:from>
        <xdr:to>
          <xdr:col>8</xdr:col>
          <xdr:colOff>447675</xdr:colOff>
          <xdr:row>0</xdr:row>
          <xdr:rowOff>295275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142875</xdr:colOff>
          <xdr:row>1</xdr:row>
          <xdr:rowOff>28575</xdr:rowOff>
        </xdr:from>
        <xdr:to>
          <xdr:col>17</xdr:col>
          <xdr:colOff>266700</xdr:colOff>
          <xdr:row>3</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189396</xdr:colOff>
      <xdr:row>0</xdr:row>
      <xdr:rowOff>0</xdr:rowOff>
    </xdr:from>
    <xdr:to>
      <xdr:col>14</xdr:col>
      <xdr:colOff>583096</xdr:colOff>
      <xdr:row>53</xdr:row>
      <xdr:rowOff>76752</xdr:rowOff>
    </xdr:to>
    <xdr:graphicFrame macro="">
      <xdr:nvGraphicFramePr>
        <xdr:cNvPr id="3" name="Chart 178">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a:extLst>
            <a:ext uri="{FF2B5EF4-FFF2-40B4-BE49-F238E27FC236}">
              <a16:creationId xmlns:a16="http://schemas.microsoft.com/office/drawing/2014/main" id="{00000000-0008-0000-01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a:extLst>
            <a:ext uri="{FF2B5EF4-FFF2-40B4-BE49-F238E27FC236}">
              <a16:creationId xmlns:a16="http://schemas.microsoft.com/office/drawing/2014/main" id="{00000000-0008-0000-01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17</xdr:col>
      <xdr:colOff>356024</xdr:colOff>
      <xdr:row>16</xdr:row>
      <xdr:rowOff>121919</xdr:rowOff>
    </xdr:from>
    <xdr:to>
      <xdr:col>18</xdr:col>
      <xdr:colOff>236219</xdr:colOff>
      <xdr:row>18</xdr:row>
      <xdr:rowOff>38099</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16</xdr:col>
      <xdr:colOff>515621</xdr:colOff>
      <xdr:row>16</xdr:row>
      <xdr:rowOff>129540</xdr:rowOff>
    </xdr:from>
    <xdr:to>
      <xdr:col>17</xdr:col>
      <xdr:colOff>347980</xdr:colOff>
      <xdr:row>18</xdr:row>
      <xdr:rowOff>35560</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18</xdr:col>
      <xdr:colOff>399627</xdr:colOff>
      <xdr:row>14</xdr:row>
      <xdr:rowOff>118534</xdr:rowOff>
    </xdr:from>
    <xdr:to>
      <xdr:col>20</xdr:col>
      <xdr:colOff>91440</xdr:colOff>
      <xdr:row>15</xdr:row>
      <xdr:rowOff>159174</xdr:rowOff>
    </xdr:to>
    <xdr:sp macro="" textlink="">
      <xdr:nvSpPr>
        <xdr:cNvPr id="8" name="Rektangel 7">
          <a:extLst>
            <a:ext uri="{FF2B5EF4-FFF2-40B4-BE49-F238E27FC236}">
              <a16:creationId xmlns:a16="http://schemas.microsoft.com/office/drawing/2014/main" id="{00000000-0008-0000-01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a:extLst>
            <a:ext uri="{FF2B5EF4-FFF2-40B4-BE49-F238E27FC236}">
              <a16:creationId xmlns:a16="http://schemas.microsoft.com/office/drawing/2014/main" id="{00000000-0008-0000-01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17</xdr:col>
      <xdr:colOff>423</xdr:colOff>
      <xdr:row>9</xdr:row>
      <xdr:rowOff>144781</xdr:rowOff>
    </xdr:from>
    <xdr:to>
      <xdr:col>18</xdr:col>
      <xdr:colOff>91440</xdr:colOff>
      <xdr:row>12</xdr:row>
      <xdr:rowOff>10161</xdr:rowOff>
    </xdr:to>
    <xdr:sp macro="" textlink="">
      <xdr:nvSpPr>
        <xdr:cNvPr id="10" name="TekstSylinder 9">
          <a:extLst>
            <a:ext uri="{FF2B5EF4-FFF2-40B4-BE49-F238E27FC236}">
              <a16:creationId xmlns:a16="http://schemas.microsoft.com/office/drawing/2014/main" id="{00000000-0008-0000-01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a:extLst>
            <a:ext uri="{FF2B5EF4-FFF2-40B4-BE49-F238E27FC236}">
              <a16:creationId xmlns:a16="http://schemas.microsoft.com/office/drawing/2014/main" id="{00000000-0008-0000-01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a:extLst>
            <a:ext uri="{FF2B5EF4-FFF2-40B4-BE49-F238E27FC236}">
              <a16:creationId xmlns:a16="http://schemas.microsoft.com/office/drawing/2014/main" id="{00000000-0008-0000-01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12</xdr:col>
      <xdr:colOff>294859</xdr:colOff>
      <xdr:row>41</xdr:row>
      <xdr:rowOff>88713</xdr:rowOff>
    </xdr:from>
    <xdr:to>
      <xdr:col>14</xdr:col>
      <xdr:colOff>116205</xdr:colOff>
      <xdr:row>43</xdr:row>
      <xdr:rowOff>146528</xdr:rowOff>
    </xdr:to>
    <xdr:sp macro="" textlink="">
      <xdr:nvSpPr>
        <xdr:cNvPr id="13" name="Venstre klammeparentes 12">
          <a:extLst>
            <a:ext uri="{FF2B5EF4-FFF2-40B4-BE49-F238E27FC236}">
              <a16:creationId xmlns:a16="http://schemas.microsoft.com/office/drawing/2014/main" id="{00000000-0008-0000-0100-00000D000000}"/>
            </a:ext>
          </a:extLst>
        </xdr:cNvPr>
        <xdr:cNvSpPr/>
      </xdr:nvSpPr>
      <xdr:spPr bwMode="auto">
        <a:xfrm rot="5400000">
          <a:off x="8983798" y="6474122"/>
          <a:ext cx="389119" cy="12017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a:extLst>
            <a:ext uri="{FF2B5EF4-FFF2-40B4-BE49-F238E27FC236}">
              <a16:creationId xmlns:a16="http://schemas.microsoft.com/office/drawing/2014/main" id="{00000000-0008-0000-01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a:extLst>
            <a:ext uri="{FF2B5EF4-FFF2-40B4-BE49-F238E27FC236}">
              <a16:creationId xmlns:a16="http://schemas.microsoft.com/office/drawing/2014/main" id="{00000000-0008-0000-01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xdr:col>
      <xdr:colOff>228678</xdr:colOff>
      <xdr:row>27</xdr:row>
      <xdr:rowOff>24356</xdr:rowOff>
    </xdr:from>
    <xdr:to>
      <xdr:col>12</xdr:col>
      <xdr:colOff>243793</xdr:colOff>
      <xdr:row>27</xdr:row>
      <xdr:rowOff>44849</xdr:rowOff>
    </xdr:to>
    <xdr:cxnSp macro="">
      <xdr:nvCxnSpPr>
        <xdr:cNvPr id="16" name="Rett pil 15">
          <a:extLst>
            <a:ext uri="{FF2B5EF4-FFF2-40B4-BE49-F238E27FC236}">
              <a16:creationId xmlns:a16="http://schemas.microsoft.com/office/drawing/2014/main" id="{00000000-0008-0000-0100-000010000000}"/>
            </a:ext>
          </a:extLst>
        </xdr:cNvPr>
        <xdr:cNvCxnSpPr/>
      </xdr:nvCxnSpPr>
      <xdr:spPr bwMode="auto">
        <a:xfrm flipH="1">
          <a:off x="918895" y="4496965"/>
          <a:ext cx="7607507" cy="20493"/>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186267</xdr:colOff>
      <xdr:row>10</xdr:row>
      <xdr:rowOff>113454</xdr:rowOff>
    </xdr:from>
    <xdr:to>
      <xdr:col>16</xdr:col>
      <xdr:colOff>201507</xdr:colOff>
      <xdr:row>15</xdr:row>
      <xdr:rowOff>128694</xdr:rowOff>
    </xdr:to>
    <xdr:cxnSp macro="">
      <xdr:nvCxnSpPr>
        <xdr:cNvPr id="17" name="Rett pil 16">
          <a:extLst>
            <a:ext uri="{FF2B5EF4-FFF2-40B4-BE49-F238E27FC236}">
              <a16:creationId xmlns:a16="http://schemas.microsoft.com/office/drawing/2014/main" id="{00000000-0008-0000-01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a:extLst>
            <a:ext uri="{FF2B5EF4-FFF2-40B4-BE49-F238E27FC236}">
              <a16:creationId xmlns:a16="http://schemas.microsoft.com/office/drawing/2014/main" id="{00000000-0008-0000-01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a:extLst>
            <a:ext uri="{FF2B5EF4-FFF2-40B4-BE49-F238E27FC236}">
              <a16:creationId xmlns:a16="http://schemas.microsoft.com/office/drawing/2014/main" id="{00000000-0008-0000-01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a:extLst>
            <a:ext uri="{FF2B5EF4-FFF2-40B4-BE49-F238E27FC236}">
              <a16:creationId xmlns:a16="http://schemas.microsoft.com/office/drawing/2014/main" id="{00000000-0008-0000-01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a:extLst>
            <a:ext uri="{FF2B5EF4-FFF2-40B4-BE49-F238E27FC236}">
              <a16:creationId xmlns:a16="http://schemas.microsoft.com/office/drawing/2014/main" id="{00000000-0008-0000-01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16</xdr:col>
      <xdr:colOff>118534</xdr:colOff>
      <xdr:row>9</xdr:row>
      <xdr:rowOff>130387</xdr:rowOff>
    </xdr:from>
    <xdr:to>
      <xdr:col>16</xdr:col>
      <xdr:colOff>657014</xdr:colOff>
      <xdr:row>9</xdr:row>
      <xdr:rowOff>135467</xdr:rowOff>
    </xdr:to>
    <xdr:cxnSp macro="">
      <xdr:nvCxnSpPr>
        <xdr:cNvPr id="22" name="Rett pil 21">
          <a:extLst>
            <a:ext uri="{FF2B5EF4-FFF2-40B4-BE49-F238E27FC236}">
              <a16:creationId xmlns:a16="http://schemas.microsoft.com/office/drawing/2014/main" id="{00000000-0008-0000-01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12</xdr:col>
      <xdr:colOff>275689</xdr:colOff>
      <xdr:row>27</xdr:row>
      <xdr:rowOff>13804</xdr:rowOff>
    </xdr:from>
    <xdr:to>
      <xdr:col>12</xdr:col>
      <xdr:colOff>276087</xdr:colOff>
      <xdr:row>44</xdr:row>
      <xdr:rowOff>121466</xdr:rowOff>
    </xdr:to>
    <xdr:cxnSp macro="">
      <xdr:nvCxnSpPr>
        <xdr:cNvPr id="23" name="Rett pil 22">
          <a:extLst>
            <a:ext uri="{FF2B5EF4-FFF2-40B4-BE49-F238E27FC236}">
              <a16:creationId xmlns:a16="http://schemas.microsoft.com/office/drawing/2014/main" id="{00000000-0008-0000-0100-000017000000}"/>
            </a:ext>
          </a:extLst>
        </xdr:cNvPr>
        <xdr:cNvCxnSpPr/>
      </xdr:nvCxnSpPr>
      <xdr:spPr bwMode="auto">
        <a:xfrm flipH="1">
          <a:off x="8558298" y="4486413"/>
          <a:ext cx="398" cy="2923749"/>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129539</xdr:colOff>
      <xdr:row>8</xdr:row>
      <xdr:rowOff>87631</xdr:rowOff>
    </xdr:from>
    <xdr:to>
      <xdr:col>17</xdr:col>
      <xdr:colOff>256540</xdr:colOff>
      <xdr:row>9</xdr:row>
      <xdr:rowOff>62232</xdr:rowOff>
    </xdr:to>
    <xdr:sp macro="" textlink="">
      <xdr:nvSpPr>
        <xdr:cNvPr id="24" name="Ellipse 23">
          <a:extLst>
            <a:ext uri="{FF2B5EF4-FFF2-40B4-BE49-F238E27FC236}">
              <a16:creationId xmlns:a16="http://schemas.microsoft.com/office/drawing/2014/main" id="{00000000-0008-0000-01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a:extLst>
            <a:ext uri="{FF2B5EF4-FFF2-40B4-BE49-F238E27FC236}">
              <a16:creationId xmlns:a16="http://schemas.microsoft.com/office/drawing/2014/main" id="{00000000-0008-0000-01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xdr:col>
      <xdr:colOff>325737</xdr:colOff>
      <xdr:row>41</xdr:row>
      <xdr:rowOff>82830</xdr:rowOff>
    </xdr:from>
    <xdr:to>
      <xdr:col>12</xdr:col>
      <xdr:colOff>193261</xdr:colOff>
      <xdr:row>44</xdr:row>
      <xdr:rowOff>13809</xdr:rowOff>
    </xdr:to>
    <xdr:sp macro="" textlink="">
      <xdr:nvSpPr>
        <xdr:cNvPr id="26" name="Venstre klammeparentes 25">
          <a:extLst>
            <a:ext uri="{FF2B5EF4-FFF2-40B4-BE49-F238E27FC236}">
              <a16:creationId xmlns:a16="http://schemas.microsoft.com/office/drawing/2014/main" id="{00000000-0008-0000-0100-00001A000000}"/>
            </a:ext>
          </a:extLst>
        </xdr:cNvPr>
        <xdr:cNvSpPr/>
      </xdr:nvSpPr>
      <xdr:spPr bwMode="auto">
        <a:xfrm rot="5400000">
          <a:off x="4531944" y="3358579"/>
          <a:ext cx="427936" cy="7459916"/>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a:extLst>
            <a:ext uri="{FF2B5EF4-FFF2-40B4-BE49-F238E27FC236}">
              <a16:creationId xmlns:a16="http://schemas.microsoft.com/office/drawing/2014/main" id="{00000000-0008-0000-01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0.39418</cdr:x>
      <cdr:y>0.70081</cdr:y>
    </cdr:from>
    <cdr:to>
      <cdr:x>0.60672</cdr:x>
      <cdr:y>0.74626</cdr:y>
    </cdr:to>
    <cdr:sp macro="" textlink="">
      <cdr:nvSpPr>
        <cdr:cNvPr id="2" name="TekstSylinder 1"/>
        <cdr:cNvSpPr txBox="1"/>
      </cdr:nvSpPr>
      <cdr:spPr>
        <a:xfrm xmlns:a="http://schemas.openxmlformats.org/drawingml/2006/main">
          <a:off x="3964196" y="6206563"/>
          <a:ext cx="2137460" cy="402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800"/>
            <a:t>Elastisk</a:t>
          </a:r>
        </a:p>
      </cdr:txBody>
    </cdr:sp>
  </cdr:relSizeAnchor>
  <cdr:relSizeAnchor xmlns:cdr="http://schemas.openxmlformats.org/drawingml/2006/chartDrawing">
    <cdr:from>
      <cdr:x>0.84456</cdr:x>
      <cdr:y>0.70701</cdr:y>
    </cdr:from>
    <cdr:to>
      <cdr:x>0.99039</cdr:x>
      <cdr:y>0.76048</cdr:y>
    </cdr:to>
    <cdr:sp macro="" textlink="">
      <cdr:nvSpPr>
        <cdr:cNvPr id="3" name="TekstSylinder 2"/>
        <cdr:cNvSpPr txBox="1"/>
      </cdr:nvSpPr>
      <cdr:spPr>
        <a:xfrm xmlns:a="http://schemas.openxmlformats.org/drawingml/2006/main">
          <a:off x="8493538" y="6261497"/>
          <a:ext cx="1466573" cy="4735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800"/>
            <a:t>Uleastisk</a:t>
          </a:r>
        </a:p>
        <a:p xmlns:a="http://schemas.openxmlformats.org/drawingml/2006/main">
          <a:endParaRPr lang="nb-NO" sz="1800"/>
        </a:p>
      </cdr:txBody>
    </cdr:sp>
  </cdr:relSizeAnchor>
  <cdr:relSizeAnchor xmlns:cdr="http://schemas.openxmlformats.org/drawingml/2006/chartDrawing">
    <cdr:from>
      <cdr:x>0.75001</cdr:x>
      <cdr:y>0.84326</cdr:y>
    </cdr:from>
    <cdr:to>
      <cdr:x>0.97805</cdr:x>
      <cdr:y>0.9208</cdr:y>
    </cdr:to>
    <cdr:sp macro="" textlink="">
      <cdr:nvSpPr>
        <cdr:cNvPr id="4" name="TekstSylinder 3"/>
        <cdr:cNvSpPr txBox="1"/>
      </cdr:nvSpPr>
      <cdr:spPr>
        <a:xfrm xmlns:a="http://schemas.openxmlformats.org/drawingml/2006/main">
          <a:off x="7542609" y="7468136"/>
          <a:ext cx="2293340" cy="6867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800"/>
            <a:t>Nøytralelastisk</a:t>
          </a:r>
        </a:p>
        <a:p xmlns:a="http://schemas.openxmlformats.org/drawingml/2006/main">
          <a:endParaRPr lang="nb-NO" sz="1800"/>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1</xdr:row>
          <xdr:rowOff>85725</xdr:rowOff>
        </xdr:from>
        <xdr:to>
          <xdr:col>18</xdr:col>
          <xdr:colOff>85725</xdr:colOff>
          <xdr:row>3</xdr:row>
          <xdr:rowOff>76200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a:extLst>
            <a:ext uri="{FF2B5EF4-FFF2-40B4-BE49-F238E27FC236}">
              <a16:creationId xmlns:a16="http://schemas.microsoft.com/office/drawing/2014/main" id="{00000000-0008-0000-02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a:extLst>
            <a:ext uri="{FF2B5EF4-FFF2-40B4-BE49-F238E27FC236}">
              <a16:creationId xmlns:a16="http://schemas.microsoft.com/office/drawing/2014/main" id="{00000000-0008-0000-02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a:extLst>
            <a:ext uri="{FF2B5EF4-FFF2-40B4-BE49-F238E27FC236}">
              <a16:creationId xmlns:a16="http://schemas.microsoft.com/office/drawing/2014/main" id="{00000000-0008-0000-02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a:extLst>
            <a:ext uri="{FF2B5EF4-FFF2-40B4-BE49-F238E27FC236}">
              <a16:creationId xmlns:a16="http://schemas.microsoft.com/office/drawing/2014/main" id="{00000000-0008-0000-02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a:extLst>
            <a:ext uri="{FF2B5EF4-FFF2-40B4-BE49-F238E27FC236}">
              <a16:creationId xmlns:a16="http://schemas.microsoft.com/office/drawing/2014/main" id="{00000000-0008-0000-02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a:extLst>
            <a:ext uri="{FF2B5EF4-FFF2-40B4-BE49-F238E27FC236}">
              <a16:creationId xmlns:a16="http://schemas.microsoft.com/office/drawing/2014/main" id="{00000000-0008-0000-02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a:extLst>
            <a:ext uri="{FF2B5EF4-FFF2-40B4-BE49-F238E27FC236}">
              <a16:creationId xmlns:a16="http://schemas.microsoft.com/office/drawing/2014/main" id="{00000000-0008-0000-02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a:extLst>
            <a:ext uri="{FF2B5EF4-FFF2-40B4-BE49-F238E27FC236}">
              <a16:creationId xmlns:a16="http://schemas.microsoft.com/office/drawing/2014/main" id="{00000000-0008-0000-02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a:extLst>
            <a:ext uri="{FF2B5EF4-FFF2-40B4-BE49-F238E27FC236}">
              <a16:creationId xmlns:a16="http://schemas.microsoft.com/office/drawing/2014/main" id="{00000000-0008-0000-02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a:extLst>
            <a:ext uri="{FF2B5EF4-FFF2-40B4-BE49-F238E27FC236}">
              <a16:creationId xmlns:a16="http://schemas.microsoft.com/office/drawing/2014/main" id="{00000000-0008-0000-02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a:extLst>
            <a:ext uri="{FF2B5EF4-FFF2-40B4-BE49-F238E27FC236}">
              <a16:creationId xmlns:a16="http://schemas.microsoft.com/office/drawing/2014/main" id="{00000000-0008-0000-02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a:extLst>
            <a:ext uri="{FF2B5EF4-FFF2-40B4-BE49-F238E27FC236}">
              <a16:creationId xmlns:a16="http://schemas.microsoft.com/office/drawing/2014/main" id="{00000000-0008-0000-02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a:extLst>
            <a:ext uri="{FF2B5EF4-FFF2-40B4-BE49-F238E27FC236}">
              <a16:creationId xmlns:a16="http://schemas.microsoft.com/office/drawing/2014/main" id="{00000000-0008-0000-02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a:extLst>
            <a:ext uri="{FF2B5EF4-FFF2-40B4-BE49-F238E27FC236}">
              <a16:creationId xmlns:a16="http://schemas.microsoft.com/office/drawing/2014/main" id="{00000000-0008-0000-02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a:extLst>
            <a:ext uri="{FF2B5EF4-FFF2-40B4-BE49-F238E27FC236}">
              <a16:creationId xmlns:a16="http://schemas.microsoft.com/office/drawing/2014/main" id="{00000000-0008-0000-02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a:extLst>
            <a:ext uri="{FF2B5EF4-FFF2-40B4-BE49-F238E27FC236}">
              <a16:creationId xmlns:a16="http://schemas.microsoft.com/office/drawing/2014/main" id="{00000000-0008-0000-02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a:extLst>
            <a:ext uri="{FF2B5EF4-FFF2-40B4-BE49-F238E27FC236}">
              <a16:creationId xmlns:a16="http://schemas.microsoft.com/office/drawing/2014/main" id="{00000000-0008-0000-02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a:extLst>
            <a:ext uri="{FF2B5EF4-FFF2-40B4-BE49-F238E27FC236}">
              <a16:creationId xmlns:a16="http://schemas.microsoft.com/office/drawing/2014/main" id="{00000000-0008-0000-02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a:extLst>
            <a:ext uri="{FF2B5EF4-FFF2-40B4-BE49-F238E27FC236}">
              <a16:creationId xmlns:a16="http://schemas.microsoft.com/office/drawing/2014/main" id="{00000000-0008-0000-02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a:extLst>
            <a:ext uri="{FF2B5EF4-FFF2-40B4-BE49-F238E27FC236}">
              <a16:creationId xmlns:a16="http://schemas.microsoft.com/office/drawing/2014/main" id="{00000000-0008-0000-02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a:extLst>
            <a:ext uri="{FF2B5EF4-FFF2-40B4-BE49-F238E27FC236}">
              <a16:creationId xmlns:a16="http://schemas.microsoft.com/office/drawing/2014/main" id="{00000000-0008-0000-02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a:extLst>
            <a:ext uri="{FF2B5EF4-FFF2-40B4-BE49-F238E27FC236}">
              <a16:creationId xmlns:a16="http://schemas.microsoft.com/office/drawing/2014/main" id="{00000000-0008-0000-02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16933</xdr:colOff>
      <xdr:row>187</xdr:row>
      <xdr:rowOff>47430</xdr:rowOff>
    </xdr:from>
    <xdr:to>
      <xdr:col>14</xdr:col>
      <xdr:colOff>789215</xdr:colOff>
      <xdr:row>195</xdr:row>
      <xdr:rowOff>161637</xdr:rowOff>
    </xdr:to>
    <xdr:pic>
      <xdr:nvPicPr>
        <xdr:cNvPr id="138" name="Bild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124</xdr:row>
      <xdr:rowOff>0</xdr:rowOff>
    </xdr:from>
    <xdr:to>
      <xdr:col>14</xdr:col>
      <xdr:colOff>298050</xdr:colOff>
      <xdr:row>153</xdr:row>
      <xdr:rowOff>281902</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732727"/>
          <a:ext cx="10058400" cy="5414301"/>
        </a:xfrm>
        <a:prstGeom prst="rect">
          <a:avLst/>
        </a:prstGeom>
      </xdr:spPr>
    </xdr:pic>
    <xdr:clientData/>
  </xdr:twoCellAnchor>
  <xdr:twoCellAnchor>
    <xdr:from>
      <xdr:col>1</xdr:col>
      <xdr:colOff>389467</xdr:colOff>
      <xdr:row>123</xdr:row>
      <xdr:rowOff>57187</xdr:rowOff>
    </xdr:from>
    <xdr:to>
      <xdr:col>2</xdr:col>
      <xdr:colOff>330796</xdr:colOff>
      <xdr:row>125</xdr:row>
      <xdr:rowOff>93133</xdr:rowOff>
    </xdr:to>
    <xdr:cxnSp macro="">
      <xdr:nvCxnSpPr>
        <xdr:cNvPr id="7" name="Rett linje 6">
          <a:extLst>
            <a:ext uri="{FF2B5EF4-FFF2-40B4-BE49-F238E27FC236}">
              <a16:creationId xmlns:a16="http://schemas.microsoft.com/office/drawing/2014/main" id="{00000000-0008-0000-0300-000007000000}"/>
            </a:ext>
          </a:extLst>
        </xdr:cNvPr>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120</xdr:row>
      <xdr:rowOff>42334</xdr:rowOff>
    </xdr:from>
    <xdr:to>
      <xdr:col>4</xdr:col>
      <xdr:colOff>96848</xdr:colOff>
      <xdr:row>123</xdr:row>
      <xdr:rowOff>57187</xdr:rowOff>
    </xdr:to>
    <xdr:sp macro="" textlink="">
      <xdr:nvSpPr>
        <xdr:cNvPr id="5" name="TekstSylinder 4">
          <a:extLst>
            <a:ext uri="{FF2B5EF4-FFF2-40B4-BE49-F238E27FC236}">
              <a16:creationId xmlns:a16="http://schemas.microsoft.com/office/drawing/2014/main" id="{00000000-0008-0000-0300-000005000000}"/>
            </a:ext>
          </a:extLst>
        </xdr:cNvPr>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123</xdr:row>
      <xdr:rowOff>57187</xdr:rowOff>
    </xdr:from>
    <xdr:to>
      <xdr:col>3</xdr:col>
      <xdr:colOff>635000</xdr:colOff>
      <xdr:row>125</xdr:row>
      <xdr:rowOff>127000</xdr:rowOff>
    </xdr:to>
    <xdr:cxnSp macro="">
      <xdr:nvCxnSpPr>
        <xdr:cNvPr id="11" name="Rett linje 10">
          <a:extLst>
            <a:ext uri="{FF2B5EF4-FFF2-40B4-BE49-F238E27FC236}">
              <a16:creationId xmlns:a16="http://schemas.microsoft.com/office/drawing/2014/main" id="{00000000-0008-0000-0300-00000B000000}"/>
            </a:ext>
          </a:extLst>
        </xdr:cNvPr>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122</xdr:row>
      <xdr:rowOff>169333</xdr:rowOff>
    </xdr:from>
    <xdr:to>
      <xdr:col>2</xdr:col>
      <xdr:colOff>651934</xdr:colOff>
      <xdr:row>125</xdr:row>
      <xdr:rowOff>118533</xdr:rowOff>
    </xdr:to>
    <xdr:cxnSp macro="">
      <xdr:nvCxnSpPr>
        <xdr:cNvPr id="12" name="Rett linje 11">
          <a:extLst>
            <a:ext uri="{FF2B5EF4-FFF2-40B4-BE49-F238E27FC236}">
              <a16:creationId xmlns:a16="http://schemas.microsoft.com/office/drawing/2014/main" id="{00000000-0008-0000-0300-00000C000000}"/>
            </a:ext>
          </a:extLst>
        </xdr:cNvPr>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123</xdr:row>
      <xdr:rowOff>57187</xdr:rowOff>
    </xdr:from>
    <xdr:to>
      <xdr:col>5</xdr:col>
      <xdr:colOff>8467</xdr:colOff>
      <xdr:row>125</xdr:row>
      <xdr:rowOff>101600</xdr:rowOff>
    </xdr:to>
    <xdr:cxnSp macro="">
      <xdr:nvCxnSpPr>
        <xdr:cNvPr id="13" name="Rett linje 12">
          <a:extLst>
            <a:ext uri="{FF2B5EF4-FFF2-40B4-BE49-F238E27FC236}">
              <a16:creationId xmlns:a16="http://schemas.microsoft.com/office/drawing/2014/main" id="{00000000-0008-0000-0300-00000D000000}"/>
            </a:ext>
          </a:extLst>
        </xdr:cNvPr>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123</xdr:row>
      <xdr:rowOff>93133</xdr:rowOff>
    </xdr:from>
    <xdr:to>
      <xdr:col>2</xdr:col>
      <xdr:colOff>497343</xdr:colOff>
      <xdr:row>153</xdr:row>
      <xdr:rowOff>53287</xdr:rowOff>
    </xdr:to>
    <xdr:cxnSp macro="">
      <xdr:nvCxnSpPr>
        <xdr:cNvPr id="22" name="Rett linje 21">
          <a:extLst>
            <a:ext uri="{FF2B5EF4-FFF2-40B4-BE49-F238E27FC236}">
              <a16:creationId xmlns:a16="http://schemas.microsoft.com/office/drawing/2014/main" id="{00000000-0008-0000-0300-000016000000}"/>
            </a:ext>
          </a:extLst>
        </xdr:cNvPr>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120</xdr:row>
      <xdr:rowOff>42333</xdr:rowOff>
    </xdr:from>
    <xdr:to>
      <xdr:col>5</xdr:col>
      <xdr:colOff>355600</xdr:colOff>
      <xdr:row>121</xdr:row>
      <xdr:rowOff>175720</xdr:rowOff>
    </xdr:to>
    <xdr:sp macro="" textlink="">
      <xdr:nvSpPr>
        <xdr:cNvPr id="26" name="TekstSylinder 25">
          <a:extLst>
            <a:ext uri="{FF2B5EF4-FFF2-40B4-BE49-F238E27FC236}">
              <a16:creationId xmlns:a16="http://schemas.microsoft.com/office/drawing/2014/main" id="{00000000-0008-0000-0300-00001A000000}"/>
            </a:ext>
          </a:extLst>
        </xdr:cNvPr>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121</xdr:row>
      <xdr:rowOff>175720</xdr:rowOff>
    </xdr:from>
    <xdr:to>
      <xdr:col>4</xdr:col>
      <xdr:colOff>663371</xdr:colOff>
      <xdr:row>128</xdr:row>
      <xdr:rowOff>143933</xdr:rowOff>
    </xdr:to>
    <xdr:cxnSp macro="">
      <xdr:nvCxnSpPr>
        <xdr:cNvPr id="27" name="Rett linje 26">
          <a:extLst>
            <a:ext uri="{FF2B5EF4-FFF2-40B4-BE49-F238E27FC236}">
              <a16:creationId xmlns:a16="http://schemas.microsoft.com/office/drawing/2014/main" id="{00000000-0008-0000-0300-00001B000000}"/>
            </a:ext>
          </a:extLst>
        </xdr:cNvPr>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121</xdr:row>
      <xdr:rowOff>175720</xdr:rowOff>
    </xdr:from>
    <xdr:to>
      <xdr:col>4</xdr:col>
      <xdr:colOff>663371</xdr:colOff>
      <xdr:row>143</xdr:row>
      <xdr:rowOff>160867</xdr:rowOff>
    </xdr:to>
    <xdr:cxnSp macro="">
      <xdr:nvCxnSpPr>
        <xdr:cNvPr id="30" name="Rett linje 29">
          <a:extLst>
            <a:ext uri="{FF2B5EF4-FFF2-40B4-BE49-F238E27FC236}">
              <a16:creationId xmlns:a16="http://schemas.microsoft.com/office/drawing/2014/main" id="{00000000-0008-0000-0300-00001E000000}"/>
            </a:ext>
          </a:extLst>
        </xdr:cNvPr>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121</xdr:row>
      <xdr:rowOff>175720</xdr:rowOff>
    </xdr:from>
    <xdr:to>
      <xdr:col>13</xdr:col>
      <xdr:colOff>0</xdr:colOff>
      <xdr:row>130</xdr:row>
      <xdr:rowOff>160867</xdr:rowOff>
    </xdr:to>
    <xdr:cxnSp macro="">
      <xdr:nvCxnSpPr>
        <xdr:cNvPr id="33" name="Rett linje 32">
          <a:extLst>
            <a:ext uri="{FF2B5EF4-FFF2-40B4-BE49-F238E27FC236}">
              <a16:creationId xmlns:a16="http://schemas.microsoft.com/office/drawing/2014/main" id="{00000000-0008-0000-0300-000021000000}"/>
            </a:ext>
          </a:extLst>
        </xdr:cNvPr>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120</xdr:row>
      <xdr:rowOff>50800</xdr:rowOff>
    </xdr:from>
    <xdr:to>
      <xdr:col>7</xdr:col>
      <xdr:colOff>313267</xdr:colOff>
      <xdr:row>122</xdr:row>
      <xdr:rowOff>6387</xdr:rowOff>
    </xdr:to>
    <xdr:sp macro="" textlink="">
      <xdr:nvSpPr>
        <xdr:cNvPr id="36" name="TekstSylinder 35">
          <a:extLst>
            <a:ext uri="{FF2B5EF4-FFF2-40B4-BE49-F238E27FC236}">
              <a16:creationId xmlns:a16="http://schemas.microsoft.com/office/drawing/2014/main" id="{00000000-0008-0000-0300-000024000000}"/>
            </a:ext>
          </a:extLst>
        </xdr:cNvPr>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121</xdr:row>
      <xdr:rowOff>71049</xdr:rowOff>
    </xdr:from>
    <xdr:to>
      <xdr:col>6</xdr:col>
      <xdr:colOff>444055</xdr:colOff>
      <xdr:row>143</xdr:row>
      <xdr:rowOff>152400</xdr:rowOff>
    </xdr:to>
    <xdr:cxnSp macro="">
      <xdr:nvCxnSpPr>
        <xdr:cNvPr id="37" name="Rett linje 36">
          <a:extLst>
            <a:ext uri="{FF2B5EF4-FFF2-40B4-BE49-F238E27FC236}">
              <a16:creationId xmlns:a16="http://schemas.microsoft.com/office/drawing/2014/main" id="{00000000-0008-0000-0300-000025000000}"/>
            </a:ext>
          </a:extLst>
        </xdr:cNvPr>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122</xdr:row>
      <xdr:rowOff>23320</xdr:rowOff>
    </xdr:from>
    <xdr:to>
      <xdr:col>7</xdr:col>
      <xdr:colOff>127000</xdr:colOff>
      <xdr:row>130</xdr:row>
      <xdr:rowOff>25400</xdr:rowOff>
    </xdr:to>
    <xdr:cxnSp macro="">
      <xdr:nvCxnSpPr>
        <xdr:cNvPr id="39" name="Rett linje 38">
          <a:extLst>
            <a:ext uri="{FF2B5EF4-FFF2-40B4-BE49-F238E27FC236}">
              <a16:creationId xmlns:a16="http://schemas.microsoft.com/office/drawing/2014/main" id="{00000000-0008-0000-0300-000027000000}"/>
            </a:ext>
          </a:extLst>
        </xdr:cNvPr>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120</xdr:row>
      <xdr:rowOff>50800</xdr:rowOff>
    </xdr:from>
    <xdr:to>
      <xdr:col>8</xdr:col>
      <xdr:colOff>389467</xdr:colOff>
      <xdr:row>122</xdr:row>
      <xdr:rowOff>6387</xdr:rowOff>
    </xdr:to>
    <xdr:sp macro="" textlink="">
      <xdr:nvSpPr>
        <xdr:cNvPr id="41" name="TekstSylinder 40">
          <a:extLst>
            <a:ext uri="{FF2B5EF4-FFF2-40B4-BE49-F238E27FC236}">
              <a16:creationId xmlns:a16="http://schemas.microsoft.com/office/drawing/2014/main" id="{00000000-0008-0000-0300-000029000000}"/>
            </a:ext>
          </a:extLst>
        </xdr:cNvPr>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121</xdr:row>
      <xdr:rowOff>167254</xdr:rowOff>
    </xdr:from>
    <xdr:to>
      <xdr:col>9</xdr:col>
      <xdr:colOff>152400</xdr:colOff>
      <xdr:row>142</xdr:row>
      <xdr:rowOff>127000</xdr:rowOff>
    </xdr:to>
    <xdr:cxnSp macro="">
      <xdr:nvCxnSpPr>
        <xdr:cNvPr id="42" name="Rett linje 41">
          <a:extLst>
            <a:ext uri="{FF2B5EF4-FFF2-40B4-BE49-F238E27FC236}">
              <a16:creationId xmlns:a16="http://schemas.microsoft.com/office/drawing/2014/main" id="{00000000-0008-0000-0300-00002A000000}"/>
            </a:ext>
          </a:extLst>
        </xdr:cNvPr>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156</xdr:row>
      <xdr:rowOff>77268</xdr:rowOff>
    </xdr:from>
    <xdr:to>
      <xdr:col>14</xdr:col>
      <xdr:colOff>298050</xdr:colOff>
      <xdr:row>169</xdr:row>
      <xdr:rowOff>207818</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30776632"/>
          <a:ext cx="10088595" cy="2428096"/>
        </a:xfrm>
        <a:prstGeom prst="rect">
          <a:avLst/>
        </a:prstGeom>
      </xdr:spPr>
    </xdr:pic>
    <xdr:clientData/>
  </xdr:twoCellAnchor>
  <xdr:twoCellAnchor editAs="oneCell">
    <xdr:from>
      <xdr:col>0</xdr:col>
      <xdr:colOff>28390</xdr:colOff>
      <xdr:row>175</xdr:row>
      <xdr:rowOff>51829</xdr:rowOff>
    </xdr:from>
    <xdr:to>
      <xdr:col>7</xdr:col>
      <xdr:colOff>627865</xdr:colOff>
      <xdr:row>195</xdr:row>
      <xdr:rowOff>133928</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155</xdr:row>
      <xdr:rowOff>131703</xdr:rowOff>
    </xdr:from>
    <xdr:to>
      <xdr:col>3</xdr:col>
      <xdr:colOff>28222</xdr:colOff>
      <xdr:row>159</xdr:row>
      <xdr:rowOff>84667</xdr:rowOff>
    </xdr:to>
    <xdr:cxnSp macro="">
      <xdr:nvCxnSpPr>
        <xdr:cNvPr id="29" name="Rett linje 28">
          <a:extLst>
            <a:ext uri="{FF2B5EF4-FFF2-40B4-BE49-F238E27FC236}">
              <a16:creationId xmlns:a16="http://schemas.microsoft.com/office/drawing/2014/main" id="{00000000-0008-0000-0300-00001D000000}"/>
            </a:ext>
          </a:extLst>
        </xdr:cNvPr>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a:extLst>
            <a:ext uri="{FF2B5EF4-FFF2-40B4-BE49-F238E27FC236}">
              <a16:creationId xmlns:a16="http://schemas.microsoft.com/office/drawing/2014/main" id="{00000000-0008-0000-0300-000017000000}"/>
            </a:ext>
          </a:extLst>
        </xdr:cNvPr>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a:extLst>
            <a:ext uri="{FF2B5EF4-FFF2-40B4-BE49-F238E27FC236}">
              <a16:creationId xmlns:a16="http://schemas.microsoft.com/office/drawing/2014/main" id="{00000000-0008-0000-0300-000026000000}"/>
            </a:ext>
          </a:extLst>
        </xdr:cNvPr>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a:extLst>
            <a:ext uri="{FF2B5EF4-FFF2-40B4-BE49-F238E27FC236}">
              <a16:creationId xmlns:a16="http://schemas.microsoft.com/office/drawing/2014/main" id="{00000000-0008-0000-0300-00002B000000}"/>
            </a:ext>
          </a:extLst>
        </xdr:cNvPr>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a:extLst>
            <a:ext uri="{FF2B5EF4-FFF2-40B4-BE49-F238E27FC236}">
              <a16:creationId xmlns:a16="http://schemas.microsoft.com/office/drawing/2014/main" id="{00000000-0008-0000-0300-00002D000000}"/>
            </a:ext>
          </a:extLst>
        </xdr:cNvPr>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a:extLst>
            <a:ext uri="{FF2B5EF4-FFF2-40B4-BE49-F238E27FC236}">
              <a16:creationId xmlns:a16="http://schemas.microsoft.com/office/drawing/2014/main" id="{00000000-0008-0000-0300-00002E000000}"/>
            </a:ext>
          </a:extLst>
        </xdr:cNvPr>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a:extLst>
            <a:ext uri="{FF2B5EF4-FFF2-40B4-BE49-F238E27FC236}">
              <a16:creationId xmlns:a16="http://schemas.microsoft.com/office/drawing/2014/main" id="{00000000-0008-0000-0300-00002F000000}"/>
            </a:ext>
          </a:extLst>
        </xdr:cNvPr>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a:extLst>
            <a:ext uri="{FF2B5EF4-FFF2-40B4-BE49-F238E27FC236}">
              <a16:creationId xmlns:a16="http://schemas.microsoft.com/office/drawing/2014/main" id="{00000000-0008-0000-0300-000030000000}"/>
            </a:ext>
          </a:extLst>
        </xdr:cNvPr>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a:extLst>
            <a:ext uri="{FF2B5EF4-FFF2-40B4-BE49-F238E27FC236}">
              <a16:creationId xmlns:a16="http://schemas.microsoft.com/office/drawing/2014/main" id="{00000000-0008-0000-0300-000033000000}"/>
            </a:ext>
          </a:extLst>
        </xdr:cNvPr>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a:extLst>
            <a:ext uri="{FF2B5EF4-FFF2-40B4-BE49-F238E27FC236}">
              <a16:creationId xmlns:a16="http://schemas.microsoft.com/office/drawing/2014/main" id="{00000000-0008-0000-0300-000036000000}"/>
            </a:ext>
          </a:extLst>
        </xdr:cNvPr>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a:extLst>
            <a:ext uri="{FF2B5EF4-FFF2-40B4-BE49-F238E27FC236}">
              <a16:creationId xmlns:a16="http://schemas.microsoft.com/office/drawing/2014/main" id="{00000000-0008-0000-0300-000037000000}"/>
            </a:ext>
          </a:extLst>
        </xdr:cNvPr>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a:extLst>
            <a:ext uri="{FF2B5EF4-FFF2-40B4-BE49-F238E27FC236}">
              <a16:creationId xmlns:a16="http://schemas.microsoft.com/office/drawing/2014/main" id="{00000000-0008-0000-0300-00003B000000}"/>
            </a:ext>
          </a:extLst>
        </xdr:cNvPr>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a:extLst>
            <a:ext uri="{FF2B5EF4-FFF2-40B4-BE49-F238E27FC236}">
              <a16:creationId xmlns:a16="http://schemas.microsoft.com/office/drawing/2014/main" id="{00000000-0008-0000-0300-00003C000000}"/>
            </a:ext>
          </a:extLst>
        </xdr:cNvPr>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a:extLst>
            <a:ext uri="{FF2B5EF4-FFF2-40B4-BE49-F238E27FC236}">
              <a16:creationId xmlns:a16="http://schemas.microsoft.com/office/drawing/2014/main" id="{00000000-0008-0000-0300-00004D000000}"/>
            </a:ext>
          </a:extLst>
        </xdr:cNvPr>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a:extLst>
            <a:ext uri="{FF2B5EF4-FFF2-40B4-BE49-F238E27FC236}">
              <a16:creationId xmlns:a16="http://schemas.microsoft.com/office/drawing/2014/main" id="{00000000-0008-0000-0300-00004E000000}"/>
            </a:ext>
          </a:extLst>
        </xdr:cNvPr>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a:extLst>
            <a:ext uri="{FF2B5EF4-FFF2-40B4-BE49-F238E27FC236}">
              <a16:creationId xmlns:a16="http://schemas.microsoft.com/office/drawing/2014/main" id="{00000000-0008-0000-0300-00004F000000}"/>
            </a:ext>
          </a:extLst>
        </xdr:cNvPr>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a:extLst>
            <a:ext uri="{FF2B5EF4-FFF2-40B4-BE49-F238E27FC236}">
              <a16:creationId xmlns:a16="http://schemas.microsoft.com/office/drawing/2014/main" id="{00000000-0008-0000-0300-00005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a:extLst>
            <a:ext uri="{FF2B5EF4-FFF2-40B4-BE49-F238E27FC236}">
              <a16:creationId xmlns:a16="http://schemas.microsoft.com/office/drawing/2014/main" id="{00000000-0008-0000-0300-000051000000}"/>
            </a:ext>
          </a:extLst>
        </xdr:cNvPr>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a:extLst>
            <a:ext uri="{FF2B5EF4-FFF2-40B4-BE49-F238E27FC236}">
              <a16:creationId xmlns:a16="http://schemas.microsoft.com/office/drawing/2014/main" id="{00000000-0008-0000-0300-000054000000}"/>
            </a:ext>
          </a:extLst>
        </xdr:cNvPr>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a:extLst>
            <a:ext uri="{FF2B5EF4-FFF2-40B4-BE49-F238E27FC236}">
              <a16:creationId xmlns:a16="http://schemas.microsoft.com/office/drawing/2014/main" id="{00000000-0008-0000-0300-000057000000}"/>
            </a:ext>
          </a:extLst>
        </xdr:cNvPr>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a:extLst>
            <a:ext uri="{FF2B5EF4-FFF2-40B4-BE49-F238E27FC236}">
              <a16:creationId xmlns:a16="http://schemas.microsoft.com/office/drawing/2014/main" id="{00000000-0008-0000-0300-000058000000}"/>
            </a:ext>
          </a:extLst>
        </xdr:cNvPr>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83</xdr:row>
      <xdr:rowOff>41862</xdr:rowOff>
    </xdr:from>
    <xdr:to>
      <xdr:col>14</xdr:col>
      <xdr:colOff>731896</xdr:colOff>
      <xdr:row>88</xdr:row>
      <xdr:rowOff>23091</xdr:rowOff>
    </xdr:to>
    <xdr:sp macro="" textlink="">
      <xdr:nvSpPr>
        <xdr:cNvPr id="90" name="TekstSylinder 89">
          <a:extLst>
            <a:ext uri="{FF2B5EF4-FFF2-40B4-BE49-F238E27FC236}">
              <a16:creationId xmlns:a16="http://schemas.microsoft.com/office/drawing/2014/main" id="{00000000-0008-0000-0300-00005A000000}"/>
            </a:ext>
          </a:extLst>
        </xdr:cNvPr>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102</xdr:row>
      <xdr:rowOff>161592</xdr:rowOff>
    </xdr:from>
    <xdr:to>
      <xdr:col>3</xdr:col>
      <xdr:colOff>197556</xdr:colOff>
      <xdr:row>114</xdr:row>
      <xdr:rowOff>69146</xdr:rowOff>
    </xdr:to>
    <xdr:pic>
      <xdr:nvPicPr>
        <xdr:cNvPr id="97" name="Bild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90</xdr:row>
      <xdr:rowOff>65852</xdr:rowOff>
    </xdr:from>
    <xdr:to>
      <xdr:col>10</xdr:col>
      <xdr:colOff>141112</xdr:colOff>
      <xdr:row>102</xdr:row>
      <xdr:rowOff>142137</xdr:rowOff>
    </xdr:to>
    <xdr:pic>
      <xdr:nvPicPr>
        <xdr:cNvPr id="98" name="Bild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104</xdr:row>
      <xdr:rowOff>97119</xdr:rowOff>
    </xdr:from>
    <xdr:to>
      <xdr:col>10</xdr:col>
      <xdr:colOff>172193</xdr:colOff>
      <xdr:row>116</xdr:row>
      <xdr:rowOff>120769</xdr:rowOff>
    </xdr:to>
    <xdr:pic>
      <xdr:nvPicPr>
        <xdr:cNvPr id="99" name="Bild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96</xdr:row>
      <xdr:rowOff>169334</xdr:rowOff>
    </xdr:from>
    <xdr:to>
      <xdr:col>8</xdr:col>
      <xdr:colOff>594894</xdr:colOff>
      <xdr:row>100</xdr:row>
      <xdr:rowOff>66842</xdr:rowOff>
    </xdr:to>
    <xdr:cxnSp macro="">
      <xdr:nvCxnSpPr>
        <xdr:cNvPr id="100" name="Rett linje 99">
          <a:extLst>
            <a:ext uri="{FF2B5EF4-FFF2-40B4-BE49-F238E27FC236}">
              <a16:creationId xmlns:a16="http://schemas.microsoft.com/office/drawing/2014/main" id="{00000000-0008-0000-0300-000064000000}"/>
            </a:ext>
          </a:extLst>
        </xdr:cNvPr>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96</xdr:row>
      <xdr:rowOff>186764</xdr:rowOff>
    </xdr:from>
    <xdr:to>
      <xdr:col>9</xdr:col>
      <xdr:colOff>435656</xdr:colOff>
      <xdr:row>100</xdr:row>
      <xdr:rowOff>86895</xdr:rowOff>
    </xdr:to>
    <xdr:cxnSp macro="">
      <xdr:nvCxnSpPr>
        <xdr:cNvPr id="106" name="Rett linje 105">
          <a:extLst>
            <a:ext uri="{FF2B5EF4-FFF2-40B4-BE49-F238E27FC236}">
              <a16:creationId xmlns:a16="http://schemas.microsoft.com/office/drawing/2014/main" id="{00000000-0008-0000-0300-00006A000000}"/>
            </a:ext>
          </a:extLst>
        </xdr:cNvPr>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97</xdr:row>
      <xdr:rowOff>892</xdr:rowOff>
    </xdr:from>
    <xdr:to>
      <xdr:col>7</xdr:col>
      <xdr:colOff>439820</xdr:colOff>
      <xdr:row>100</xdr:row>
      <xdr:rowOff>92242</xdr:rowOff>
    </xdr:to>
    <xdr:cxnSp macro="">
      <xdr:nvCxnSpPr>
        <xdr:cNvPr id="111" name="Rett linje 110">
          <a:extLst>
            <a:ext uri="{FF2B5EF4-FFF2-40B4-BE49-F238E27FC236}">
              <a16:creationId xmlns:a16="http://schemas.microsoft.com/office/drawing/2014/main" id="{00000000-0008-0000-0300-00006F000000}"/>
            </a:ext>
          </a:extLst>
        </xdr:cNvPr>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111</xdr:row>
      <xdr:rowOff>20053</xdr:rowOff>
    </xdr:from>
    <xdr:to>
      <xdr:col>8</xdr:col>
      <xdr:colOff>531615</xdr:colOff>
      <xdr:row>114</xdr:row>
      <xdr:rowOff>111403</xdr:rowOff>
    </xdr:to>
    <xdr:cxnSp macro="">
      <xdr:nvCxnSpPr>
        <xdr:cNvPr id="113" name="Rett linje 112">
          <a:extLst>
            <a:ext uri="{FF2B5EF4-FFF2-40B4-BE49-F238E27FC236}">
              <a16:creationId xmlns:a16="http://schemas.microsoft.com/office/drawing/2014/main" id="{00000000-0008-0000-0300-000071000000}"/>
            </a:ext>
          </a:extLst>
        </xdr:cNvPr>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111</xdr:row>
      <xdr:rowOff>17430</xdr:rowOff>
    </xdr:from>
    <xdr:to>
      <xdr:col>9</xdr:col>
      <xdr:colOff>452588</xdr:colOff>
      <xdr:row>114</xdr:row>
      <xdr:rowOff>111403</xdr:rowOff>
    </xdr:to>
    <xdr:cxnSp macro="">
      <xdr:nvCxnSpPr>
        <xdr:cNvPr id="114" name="Rett linje 113">
          <a:extLst>
            <a:ext uri="{FF2B5EF4-FFF2-40B4-BE49-F238E27FC236}">
              <a16:creationId xmlns:a16="http://schemas.microsoft.com/office/drawing/2014/main" id="{00000000-0008-0000-0300-000072000000}"/>
            </a:ext>
          </a:extLst>
        </xdr:cNvPr>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111</xdr:row>
      <xdr:rowOff>12032</xdr:rowOff>
    </xdr:from>
    <xdr:to>
      <xdr:col>7</xdr:col>
      <xdr:colOff>249541</xdr:colOff>
      <xdr:row>114</xdr:row>
      <xdr:rowOff>103382</xdr:rowOff>
    </xdr:to>
    <xdr:cxnSp macro="">
      <xdr:nvCxnSpPr>
        <xdr:cNvPr id="115" name="Rett linje 114">
          <a:extLst>
            <a:ext uri="{FF2B5EF4-FFF2-40B4-BE49-F238E27FC236}">
              <a16:creationId xmlns:a16="http://schemas.microsoft.com/office/drawing/2014/main" id="{00000000-0008-0000-0300-000073000000}"/>
            </a:ext>
          </a:extLst>
        </xdr:cNvPr>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94</xdr:row>
      <xdr:rowOff>167104</xdr:rowOff>
    </xdr:from>
    <xdr:to>
      <xdr:col>8</xdr:col>
      <xdr:colOff>13368</xdr:colOff>
      <xdr:row>97</xdr:row>
      <xdr:rowOff>26735</xdr:rowOff>
    </xdr:to>
    <xdr:sp macro="" textlink="">
      <xdr:nvSpPr>
        <xdr:cNvPr id="116" name="TekstSylinder 115">
          <a:extLst>
            <a:ext uri="{FF2B5EF4-FFF2-40B4-BE49-F238E27FC236}">
              <a16:creationId xmlns:a16="http://schemas.microsoft.com/office/drawing/2014/main" id="{00000000-0008-0000-0300-000074000000}"/>
            </a:ext>
          </a:extLst>
        </xdr:cNvPr>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94</xdr:row>
      <xdr:rowOff>172451</xdr:rowOff>
    </xdr:from>
    <xdr:to>
      <xdr:col>10</xdr:col>
      <xdr:colOff>132347</xdr:colOff>
      <xdr:row>97</xdr:row>
      <xdr:rowOff>32082</xdr:rowOff>
    </xdr:to>
    <xdr:sp macro="" textlink="">
      <xdr:nvSpPr>
        <xdr:cNvPr id="117" name="TekstSylinder 116">
          <a:extLst>
            <a:ext uri="{FF2B5EF4-FFF2-40B4-BE49-F238E27FC236}">
              <a16:creationId xmlns:a16="http://schemas.microsoft.com/office/drawing/2014/main" id="{00000000-0008-0000-0300-000075000000}"/>
            </a:ext>
          </a:extLst>
        </xdr:cNvPr>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94</xdr:row>
      <xdr:rowOff>164433</xdr:rowOff>
    </xdr:from>
    <xdr:to>
      <xdr:col>9</xdr:col>
      <xdr:colOff>180474</xdr:colOff>
      <xdr:row>97</xdr:row>
      <xdr:rowOff>24064</xdr:rowOff>
    </xdr:to>
    <xdr:sp macro="" textlink="">
      <xdr:nvSpPr>
        <xdr:cNvPr id="118" name="TekstSylinder 117">
          <a:extLst>
            <a:ext uri="{FF2B5EF4-FFF2-40B4-BE49-F238E27FC236}">
              <a16:creationId xmlns:a16="http://schemas.microsoft.com/office/drawing/2014/main" id="{00000000-0008-0000-0300-000076000000}"/>
            </a:ext>
          </a:extLst>
        </xdr:cNvPr>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108</xdr:row>
      <xdr:rowOff>169776</xdr:rowOff>
    </xdr:from>
    <xdr:to>
      <xdr:col>7</xdr:col>
      <xdr:colOff>614949</xdr:colOff>
      <xdr:row>111</xdr:row>
      <xdr:rowOff>29408</xdr:rowOff>
    </xdr:to>
    <xdr:sp macro="" textlink="">
      <xdr:nvSpPr>
        <xdr:cNvPr id="119" name="TekstSylinder 118">
          <a:extLst>
            <a:ext uri="{FF2B5EF4-FFF2-40B4-BE49-F238E27FC236}">
              <a16:creationId xmlns:a16="http://schemas.microsoft.com/office/drawing/2014/main" id="{00000000-0008-0000-0300-000077000000}"/>
            </a:ext>
          </a:extLst>
        </xdr:cNvPr>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108</xdr:row>
      <xdr:rowOff>175123</xdr:rowOff>
    </xdr:from>
    <xdr:to>
      <xdr:col>10</xdr:col>
      <xdr:colOff>32086</xdr:colOff>
      <xdr:row>111</xdr:row>
      <xdr:rowOff>34755</xdr:rowOff>
    </xdr:to>
    <xdr:sp macro="" textlink="">
      <xdr:nvSpPr>
        <xdr:cNvPr id="120" name="TekstSylinder 119">
          <a:extLst>
            <a:ext uri="{FF2B5EF4-FFF2-40B4-BE49-F238E27FC236}">
              <a16:creationId xmlns:a16="http://schemas.microsoft.com/office/drawing/2014/main" id="{00000000-0008-0000-0300-000078000000}"/>
            </a:ext>
          </a:extLst>
        </xdr:cNvPr>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108</xdr:row>
      <xdr:rowOff>167105</xdr:rowOff>
    </xdr:from>
    <xdr:to>
      <xdr:col>9</xdr:col>
      <xdr:colOff>80213</xdr:colOff>
      <xdr:row>111</xdr:row>
      <xdr:rowOff>26737</xdr:rowOff>
    </xdr:to>
    <xdr:sp macro="" textlink="">
      <xdr:nvSpPr>
        <xdr:cNvPr id="121" name="TekstSylinder 120">
          <a:extLst>
            <a:ext uri="{FF2B5EF4-FFF2-40B4-BE49-F238E27FC236}">
              <a16:creationId xmlns:a16="http://schemas.microsoft.com/office/drawing/2014/main" id="{00000000-0008-0000-0300-000079000000}"/>
            </a:ext>
          </a:extLst>
        </xdr:cNvPr>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90</xdr:row>
      <xdr:rowOff>101600</xdr:rowOff>
    </xdr:from>
    <xdr:to>
      <xdr:col>5</xdr:col>
      <xdr:colOff>153869</xdr:colOff>
      <xdr:row>98</xdr:row>
      <xdr:rowOff>12700</xdr:rowOff>
    </xdr:to>
    <xdr:pic>
      <xdr:nvPicPr>
        <xdr:cNvPr id="122" name="Bild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90</xdr:row>
      <xdr:rowOff>127000</xdr:rowOff>
    </xdr:from>
    <xdr:to>
      <xdr:col>14</xdr:col>
      <xdr:colOff>457200</xdr:colOff>
      <xdr:row>106</xdr:row>
      <xdr:rowOff>63500</xdr:rowOff>
    </xdr:to>
    <xdr:sp macro="" textlink="">
      <xdr:nvSpPr>
        <xdr:cNvPr id="123" name="TekstSylinder 122">
          <a:extLst>
            <a:ext uri="{FF2B5EF4-FFF2-40B4-BE49-F238E27FC236}">
              <a16:creationId xmlns:a16="http://schemas.microsoft.com/office/drawing/2014/main" id="{00000000-0008-0000-0300-00007B000000}"/>
            </a:ext>
          </a:extLst>
        </xdr:cNvPr>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173</xdr:row>
      <xdr:rowOff>50800</xdr:rowOff>
    </xdr:from>
    <xdr:to>
      <xdr:col>14</xdr:col>
      <xdr:colOff>800100</xdr:colOff>
      <xdr:row>177</xdr:row>
      <xdr:rowOff>50800</xdr:rowOff>
    </xdr:to>
    <xdr:sp macro="" textlink="">
      <xdr:nvSpPr>
        <xdr:cNvPr id="124" name="TekstSylinder 123">
          <a:extLst>
            <a:ext uri="{FF2B5EF4-FFF2-40B4-BE49-F238E27FC236}">
              <a16:creationId xmlns:a16="http://schemas.microsoft.com/office/drawing/2014/main" id="{00000000-0008-0000-0300-00007C000000}"/>
            </a:ext>
          </a:extLst>
        </xdr:cNvPr>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123825</xdr:rowOff>
        </xdr:from>
        <xdr:to>
          <xdr:col>16</xdr:col>
          <xdr:colOff>542925</xdr:colOff>
          <xdr:row>1</xdr:row>
          <xdr:rowOff>200025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176</xdr:row>
      <xdr:rowOff>112060</xdr:rowOff>
    </xdr:from>
    <xdr:to>
      <xdr:col>10</xdr:col>
      <xdr:colOff>524809</xdr:colOff>
      <xdr:row>186</xdr:row>
      <xdr:rowOff>169333</xdr:rowOff>
    </xdr:to>
    <xdr:pic>
      <xdr:nvPicPr>
        <xdr:cNvPr id="126" name="Bilde 125">
          <a:extLst>
            <a:ext uri="{FF2B5EF4-FFF2-40B4-BE49-F238E27FC236}">
              <a16:creationId xmlns:a16="http://schemas.microsoft.com/office/drawing/2014/main" id="{00000000-0008-0000-0300-00007E000000}"/>
            </a:ext>
          </a:extLst>
        </xdr:cNvPr>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178</xdr:row>
      <xdr:rowOff>8713</xdr:rowOff>
    </xdr:from>
    <xdr:to>
      <xdr:col>10</xdr:col>
      <xdr:colOff>152400</xdr:colOff>
      <xdr:row>179</xdr:row>
      <xdr:rowOff>16933</xdr:rowOff>
    </xdr:to>
    <xdr:sp macro="" textlink="">
      <xdr:nvSpPr>
        <xdr:cNvPr id="128" name="Venstre klammeparentes 127">
          <a:extLst>
            <a:ext uri="{FF2B5EF4-FFF2-40B4-BE49-F238E27FC236}">
              <a16:creationId xmlns:a16="http://schemas.microsoft.com/office/drawing/2014/main" id="{00000000-0008-0000-0300-000080000000}"/>
            </a:ext>
          </a:extLst>
        </xdr:cNvPr>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179</xdr:row>
      <xdr:rowOff>25648</xdr:rowOff>
    </xdr:from>
    <xdr:to>
      <xdr:col>10</xdr:col>
      <xdr:colOff>152401</xdr:colOff>
      <xdr:row>180</xdr:row>
      <xdr:rowOff>33868</xdr:rowOff>
    </xdr:to>
    <xdr:sp macro="" textlink="">
      <xdr:nvSpPr>
        <xdr:cNvPr id="131" name="Venstre klammeparentes 130">
          <a:extLst>
            <a:ext uri="{FF2B5EF4-FFF2-40B4-BE49-F238E27FC236}">
              <a16:creationId xmlns:a16="http://schemas.microsoft.com/office/drawing/2014/main" id="{00000000-0008-0000-0300-000083000000}"/>
            </a:ext>
          </a:extLst>
        </xdr:cNvPr>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42580</xdr:rowOff>
    </xdr:from>
    <xdr:to>
      <xdr:col>10</xdr:col>
      <xdr:colOff>152400</xdr:colOff>
      <xdr:row>181</xdr:row>
      <xdr:rowOff>50800</xdr:rowOff>
    </xdr:to>
    <xdr:sp macro="" textlink="">
      <xdr:nvSpPr>
        <xdr:cNvPr id="132" name="Venstre klammeparentes 131">
          <a:extLst>
            <a:ext uri="{FF2B5EF4-FFF2-40B4-BE49-F238E27FC236}">
              <a16:creationId xmlns:a16="http://schemas.microsoft.com/office/drawing/2014/main" id="{00000000-0008-0000-0300-000084000000}"/>
            </a:ext>
          </a:extLst>
        </xdr:cNvPr>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181</xdr:row>
      <xdr:rowOff>51044</xdr:rowOff>
    </xdr:from>
    <xdr:to>
      <xdr:col>10</xdr:col>
      <xdr:colOff>152400</xdr:colOff>
      <xdr:row>182</xdr:row>
      <xdr:rowOff>59264</xdr:rowOff>
    </xdr:to>
    <xdr:sp macro="" textlink="">
      <xdr:nvSpPr>
        <xdr:cNvPr id="133" name="Venstre klammeparentes 132">
          <a:extLst>
            <a:ext uri="{FF2B5EF4-FFF2-40B4-BE49-F238E27FC236}">
              <a16:creationId xmlns:a16="http://schemas.microsoft.com/office/drawing/2014/main" id="{00000000-0008-0000-0300-000085000000}"/>
            </a:ext>
          </a:extLst>
        </xdr:cNvPr>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182</xdr:row>
      <xdr:rowOff>59510</xdr:rowOff>
    </xdr:from>
    <xdr:to>
      <xdr:col>10</xdr:col>
      <xdr:colOff>160864</xdr:colOff>
      <xdr:row>183</xdr:row>
      <xdr:rowOff>67730</xdr:rowOff>
    </xdr:to>
    <xdr:sp macro="" textlink="">
      <xdr:nvSpPr>
        <xdr:cNvPr id="134" name="Venstre klammeparentes 133">
          <a:extLst>
            <a:ext uri="{FF2B5EF4-FFF2-40B4-BE49-F238E27FC236}">
              <a16:creationId xmlns:a16="http://schemas.microsoft.com/office/drawing/2014/main" id="{00000000-0008-0000-0300-000086000000}"/>
            </a:ext>
          </a:extLst>
        </xdr:cNvPr>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183</xdr:row>
      <xdr:rowOff>76444</xdr:rowOff>
    </xdr:from>
    <xdr:to>
      <xdr:col>10</xdr:col>
      <xdr:colOff>160867</xdr:colOff>
      <xdr:row>184</xdr:row>
      <xdr:rowOff>84664</xdr:rowOff>
    </xdr:to>
    <xdr:sp macro="" textlink="">
      <xdr:nvSpPr>
        <xdr:cNvPr id="135" name="Venstre klammeparentes 134">
          <a:extLst>
            <a:ext uri="{FF2B5EF4-FFF2-40B4-BE49-F238E27FC236}">
              <a16:creationId xmlns:a16="http://schemas.microsoft.com/office/drawing/2014/main" id="{00000000-0008-0000-0300-000087000000}"/>
            </a:ext>
          </a:extLst>
        </xdr:cNvPr>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184</xdr:row>
      <xdr:rowOff>76439</xdr:rowOff>
    </xdr:from>
    <xdr:to>
      <xdr:col>10</xdr:col>
      <xdr:colOff>152400</xdr:colOff>
      <xdr:row>185</xdr:row>
      <xdr:rowOff>84659</xdr:rowOff>
    </xdr:to>
    <xdr:sp macro="" textlink="">
      <xdr:nvSpPr>
        <xdr:cNvPr id="136" name="Venstre klammeparentes 135">
          <a:extLst>
            <a:ext uri="{FF2B5EF4-FFF2-40B4-BE49-F238E27FC236}">
              <a16:creationId xmlns:a16="http://schemas.microsoft.com/office/drawing/2014/main" id="{00000000-0008-0000-0300-000088000000}"/>
            </a:ext>
          </a:extLst>
        </xdr:cNvPr>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185</xdr:row>
      <xdr:rowOff>93380</xdr:rowOff>
    </xdr:from>
    <xdr:to>
      <xdr:col>10</xdr:col>
      <xdr:colOff>160863</xdr:colOff>
      <xdr:row>186</xdr:row>
      <xdr:rowOff>101600</xdr:rowOff>
    </xdr:to>
    <xdr:sp macro="" textlink="">
      <xdr:nvSpPr>
        <xdr:cNvPr id="137" name="Venstre klammeparentes 136">
          <a:extLst>
            <a:ext uri="{FF2B5EF4-FFF2-40B4-BE49-F238E27FC236}">
              <a16:creationId xmlns:a16="http://schemas.microsoft.com/office/drawing/2014/main" id="{00000000-0008-0000-0300-000089000000}"/>
            </a:ext>
          </a:extLst>
        </xdr:cNvPr>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189</xdr:row>
      <xdr:rowOff>118775</xdr:rowOff>
    </xdr:from>
    <xdr:to>
      <xdr:col>9</xdr:col>
      <xdr:colOff>414863</xdr:colOff>
      <xdr:row>191</xdr:row>
      <xdr:rowOff>59264</xdr:rowOff>
    </xdr:to>
    <xdr:sp macro="" textlink="">
      <xdr:nvSpPr>
        <xdr:cNvPr id="139" name="Venstre klammeparentes 138">
          <a:extLst>
            <a:ext uri="{FF2B5EF4-FFF2-40B4-BE49-F238E27FC236}">
              <a16:creationId xmlns:a16="http://schemas.microsoft.com/office/drawing/2014/main" id="{00000000-0008-0000-0300-00008B000000}"/>
            </a:ext>
          </a:extLst>
        </xdr:cNvPr>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190</xdr:row>
      <xdr:rowOff>89645</xdr:rowOff>
    </xdr:from>
    <xdr:to>
      <xdr:col>9</xdr:col>
      <xdr:colOff>448236</xdr:colOff>
      <xdr:row>191</xdr:row>
      <xdr:rowOff>127000</xdr:rowOff>
    </xdr:to>
    <xdr:sp macro="" textlink="">
      <xdr:nvSpPr>
        <xdr:cNvPr id="141" name="Venstre klammeparentes 140">
          <a:extLst>
            <a:ext uri="{FF2B5EF4-FFF2-40B4-BE49-F238E27FC236}">
              <a16:creationId xmlns:a16="http://schemas.microsoft.com/office/drawing/2014/main" id="{00000000-0008-0000-0300-00008D000000}"/>
            </a:ext>
          </a:extLst>
        </xdr:cNvPr>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191</xdr:row>
      <xdr:rowOff>29881</xdr:rowOff>
    </xdr:from>
    <xdr:to>
      <xdr:col>9</xdr:col>
      <xdr:colOff>507999</xdr:colOff>
      <xdr:row>192</xdr:row>
      <xdr:rowOff>89647</xdr:rowOff>
    </xdr:to>
    <xdr:sp macro="" textlink="">
      <xdr:nvSpPr>
        <xdr:cNvPr id="142" name="Venstre klammeparentes 141">
          <a:extLst>
            <a:ext uri="{FF2B5EF4-FFF2-40B4-BE49-F238E27FC236}">
              <a16:creationId xmlns:a16="http://schemas.microsoft.com/office/drawing/2014/main" id="{00000000-0008-0000-0300-00008E000000}"/>
            </a:ext>
          </a:extLst>
        </xdr:cNvPr>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191</xdr:row>
      <xdr:rowOff>149410</xdr:rowOff>
    </xdr:from>
    <xdr:to>
      <xdr:col>9</xdr:col>
      <xdr:colOff>575230</xdr:colOff>
      <xdr:row>193</xdr:row>
      <xdr:rowOff>52784</xdr:rowOff>
    </xdr:to>
    <xdr:sp macro="" textlink="">
      <xdr:nvSpPr>
        <xdr:cNvPr id="143" name="Venstre klammeparentes 142">
          <a:extLst>
            <a:ext uri="{FF2B5EF4-FFF2-40B4-BE49-F238E27FC236}">
              <a16:creationId xmlns:a16="http://schemas.microsoft.com/office/drawing/2014/main" id="{00000000-0008-0000-0300-00008F000000}"/>
            </a:ext>
          </a:extLst>
        </xdr:cNvPr>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192</xdr:row>
      <xdr:rowOff>94867</xdr:rowOff>
    </xdr:from>
    <xdr:to>
      <xdr:col>9</xdr:col>
      <xdr:colOff>634996</xdr:colOff>
      <xdr:row>193</xdr:row>
      <xdr:rowOff>156883</xdr:rowOff>
    </xdr:to>
    <xdr:sp macro="" textlink="">
      <xdr:nvSpPr>
        <xdr:cNvPr id="144" name="Venstre klammeparentes 143">
          <a:extLst>
            <a:ext uri="{FF2B5EF4-FFF2-40B4-BE49-F238E27FC236}">
              <a16:creationId xmlns:a16="http://schemas.microsoft.com/office/drawing/2014/main" id="{00000000-0008-0000-0300-000090000000}"/>
            </a:ext>
          </a:extLst>
        </xdr:cNvPr>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193</xdr:row>
      <xdr:rowOff>48308</xdr:rowOff>
    </xdr:from>
    <xdr:to>
      <xdr:col>9</xdr:col>
      <xdr:colOff>679820</xdr:colOff>
      <xdr:row>194</xdr:row>
      <xdr:rowOff>82174</xdr:rowOff>
    </xdr:to>
    <xdr:sp macro="" textlink="">
      <xdr:nvSpPr>
        <xdr:cNvPr id="145" name="Venstre klammeparentes 144">
          <a:extLst>
            <a:ext uri="{FF2B5EF4-FFF2-40B4-BE49-F238E27FC236}">
              <a16:creationId xmlns:a16="http://schemas.microsoft.com/office/drawing/2014/main" id="{00000000-0008-0000-0300-000091000000}"/>
            </a:ext>
          </a:extLst>
        </xdr:cNvPr>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193</xdr:row>
      <xdr:rowOff>155880</xdr:rowOff>
    </xdr:from>
    <xdr:to>
      <xdr:col>10</xdr:col>
      <xdr:colOff>37744</xdr:colOff>
      <xdr:row>195</xdr:row>
      <xdr:rowOff>52294</xdr:rowOff>
    </xdr:to>
    <xdr:sp macro="" textlink="">
      <xdr:nvSpPr>
        <xdr:cNvPr id="146" name="Venstre klammeparentes 145">
          <a:extLst>
            <a:ext uri="{FF2B5EF4-FFF2-40B4-BE49-F238E27FC236}">
              <a16:creationId xmlns:a16="http://schemas.microsoft.com/office/drawing/2014/main" id="{00000000-0008-0000-0300-000092000000}"/>
            </a:ext>
          </a:extLst>
        </xdr:cNvPr>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176</xdr:row>
      <xdr:rowOff>97117</xdr:rowOff>
    </xdr:from>
    <xdr:to>
      <xdr:col>14</xdr:col>
      <xdr:colOff>938389</xdr:colOff>
      <xdr:row>186</xdr:row>
      <xdr:rowOff>171824</xdr:rowOff>
    </xdr:to>
    <xdr:sp macro="" textlink="">
      <xdr:nvSpPr>
        <xdr:cNvPr id="85" name="TekstSylinder 84">
          <a:extLst>
            <a:ext uri="{FF2B5EF4-FFF2-40B4-BE49-F238E27FC236}">
              <a16:creationId xmlns:a16="http://schemas.microsoft.com/office/drawing/2014/main" id="{00000000-0008-0000-0300-000055000000}"/>
            </a:ext>
          </a:extLst>
        </xdr:cNvPr>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189</xdr:row>
      <xdr:rowOff>87312</xdr:rowOff>
    </xdr:from>
    <xdr:to>
      <xdr:col>12</xdr:col>
      <xdr:colOff>516721</xdr:colOff>
      <xdr:row>191</xdr:row>
      <xdr:rowOff>31869</xdr:rowOff>
    </xdr:to>
    <xdr:sp macro="" textlink="">
      <xdr:nvSpPr>
        <xdr:cNvPr id="89" name="Venstre klammeparentes 88">
          <a:extLst>
            <a:ext uri="{FF2B5EF4-FFF2-40B4-BE49-F238E27FC236}">
              <a16:creationId xmlns:a16="http://schemas.microsoft.com/office/drawing/2014/main" id="{00000000-0008-0000-0300-000059000000}"/>
            </a:ext>
          </a:extLst>
        </xdr:cNvPr>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190</xdr:row>
      <xdr:rowOff>62250</xdr:rowOff>
    </xdr:from>
    <xdr:to>
      <xdr:col>12</xdr:col>
      <xdr:colOff>550094</xdr:colOff>
      <xdr:row>191</xdr:row>
      <xdr:rowOff>95536</xdr:rowOff>
    </xdr:to>
    <xdr:sp macro="" textlink="">
      <xdr:nvSpPr>
        <xdr:cNvPr id="91" name="Venstre klammeparentes 90">
          <a:extLst>
            <a:ext uri="{FF2B5EF4-FFF2-40B4-BE49-F238E27FC236}">
              <a16:creationId xmlns:a16="http://schemas.microsoft.com/office/drawing/2014/main" id="{00000000-0008-0000-0300-00005B000000}"/>
            </a:ext>
          </a:extLst>
        </xdr:cNvPr>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191</xdr:row>
      <xdr:rowOff>2486</xdr:rowOff>
    </xdr:from>
    <xdr:to>
      <xdr:col>12</xdr:col>
      <xdr:colOff>609857</xdr:colOff>
      <xdr:row>192</xdr:row>
      <xdr:rowOff>62252</xdr:rowOff>
    </xdr:to>
    <xdr:sp macro="" textlink="">
      <xdr:nvSpPr>
        <xdr:cNvPr id="92" name="Venstre klammeparentes 91">
          <a:extLst>
            <a:ext uri="{FF2B5EF4-FFF2-40B4-BE49-F238E27FC236}">
              <a16:creationId xmlns:a16="http://schemas.microsoft.com/office/drawing/2014/main" id="{00000000-0008-0000-0300-00005C000000}"/>
            </a:ext>
          </a:extLst>
        </xdr:cNvPr>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191</xdr:row>
      <xdr:rowOff>117946</xdr:rowOff>
    </xdr:from>
    <xdr:to>
      <xdr:col>12</xdr:col>
      <xdr:colOff>677088</xdr:colOff>
      <xdr:row>193</xdr:row>
      <xdr:rowOff>25389</xdr:rowOff>
    </xdr:to>
    <xdr:sp macro="" textlink="">
      <xdr:nvSpPr>
        <xdr:cNvPr id="93" name="Venstre klammeparentes 92">
          <a:extLst>
            <a:ext uri="{FF2B5EF4-FFF2-40B4-BE49-F238E27FC236}">
              <a16:creationId xmlns:a16="http://schemas.microsoft.com/office/drawing/2014/main" id="{00000000-0008-0000-0300-00005D000000}"/>
            </a:ext>
          </a:extLst>
        </xdr:cNvPr>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192</xdr:row>
      <xdr:rowOff>67472</xdr:rowOff>
    </xdr:from>
    <xdr:to>
      <xdr:col>13</xdr:col>
      <xdr:colOff>38354</xdr:colOff>
      <xdr:row>193</xdr:row>
      <xdr:rowOff>125419</xdr:rowOff>
    </xdr:to>
    <xdr:sp macro="" textlink="">
      <xdr:nvSpPr>
        <xdr:cNvPr id="95" name="Venstre klammeparentes 94">
          <a:extLst>
            <a:ext uri="{FF2B5EF4-FFF2-40B4-BE49-F238E27FC236}">
              <a16:creationId xmlns:a16="http://schemas.microsoft.com/office/drawing/2014/main" id="{00000000-0008-0000-0300-00005F000000}"/>
            </a:ext>
          </a:extLst>
        </xdr:cNvPr>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193</xdr:row>
      <xdr:rowOff>20913</xdr:rowOff>
    </xdr:from>
    <xdr:to>
      <xdr:col>13</xdr:col>
      <xdr:colOff>83178</xdr:colOff>
      <xdr:row>194</xdr:row>
      <xdr:rowOff>54779</xdr:rowOff>
    </xdr:to>
    <xdr:sp macro="" textlink="">
      <xdr:nvSpPr>
        <xdr:cNvPr id="96" name="Venstre klammeparentes 95">
          <a:extLst>
            <a:ext uri="{FF2B5EF4-FFF2-40B4-BE49-F238E27FC236}">
              <a16:creationId xmlns:a16="http://schemas.microsoft.com/office/drawing/2014/main" id="{00000000-0008-0000-0300-000060000000}"/>
            </a:ext>
          </a:extLst>
        </xdr:cNvPr>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193</xdr:row>
      <xdr:rowOff>124416</xdr:rowOff>
    </xdr:from>
    <xdr:to>
      <xdr:col>13</xdr:col>
      <xdr:colOff>136730</xdr:colOff>
      <xdr:row>195</xdr:row>
      <xdr:rowOff>24899</xdr:rowOff>
    </xdr:to>
    <xdr:sp macro="" textlink="">
      <xdr:nvSpPr>
        <xdr:cNvPr id="101" name="Venstre klammeparentes 100">
          <a:extLst>
            <a:ext uri="{FF2B5EF4-FFF2-40B4-BE49-F238E27FC236}">
              <a16:creationId xmlns:a16="http://schemas.microsoft.com/office/drawing/2014/main" id="{00000000-0008-0000-0300-000065000000}"/>
            </a:ext>
          </a:extLst>
        </xdr:cNvPr>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a:extLst>
            <a:ext uri="{FF2B5EF4-FFF2-40B4-BE49-F238E27FC236}">
              <a16:creationId xmlns:a16="http://schemas.microsoft.com/office/drawing/2014/main" id="{00000000-0008-0000-0300-000015000000}"/>
            </a:ext>
          </a:extLst>
        </xdr:cNvPr>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226" name="Bilde 225">
          <a:extLst>
            <a:ext uri="{FF2B5EF4-FFF2-40B4-BE49-F238E27FC236}">
              <a16:creationId xmlns:a16="http://schemas.microsoft.com/office/drawing/2014/main" id="{00000000-0008-0000-0300-0000E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3682"/>
          <a:ext cx="4098636" cy="303645"/>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227" name="Bilde 226">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10728" y="9167091"/>
          <a:ext cx="3094181" cy="2373339"/>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228" name="Rett linje 227">
          <a:extLst>
            <a:ext uri="{FF2B5EF4-FFF2-40B4-BE49-F238E27FC236}">
              <a16:creationId xmlns:a16="http://schemas.microsoft.com/office/drawing/2014/main" id="{00000000-0008-0000-0300-0000E4000000}"/>
            </a:ext>
          </a:extLst>
        </xdr:cNvPr>
        <xdr:cNvCxnSpPr>
          <a:stCxn id="226" idx="3"/>
        </xdr:cNvCxnSpPr>
      </xdr:nvCxnSpPr>
      <xdr:spPr bwMode="auto">
        <a:xfrm>
          <a:off x="4156363" y="9402619"/>
          <a:ext cx="1529773" cy="99406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138544</xdr:colOff>
      <xdr:row>69</xdr:row>
      <xdr:rowOff>31899</xdr:rowOff>
    </xdr:from>
    <xdr:to>
      <xdr:col>3</xdr:col>
      <xdr:colOff>565728</xdr:colOff>
      <xdr:row>78</xdr:row>
      <xdr:rowOff>150740</xdr:rowOff>
    </xdr:to>
    <xdr:pic>
      <xdr:nvPicPr>
        <xdr:cNvPr id="229" name="Bilde 22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544" y="13851808"/>
          <a:ext cx="2470729" cy="1885296"/>
        </a:xfrm>
        <a:prstGeom prst="rect">
          <a:avLst/>
        </a:prstGeom>
        <a:ln w="19050">
          <a:solidFill>
            <a:schemeClr val="tx1"/>
          </a:solidFill>
        </a:ln>
      </xdr:spPr>
    </xdr:pic>
    <xdr:clientData/>
  </xdr:twoCellAnchor>
  <xdr:twoCellAnchor editAs="oneCell">
    <xdr:from>
      <xdr:col>0</xdr:col>
      <xdr:colOff>1</xdr:colOff>
      <xdr:row>64</xdr:row>
      <xdr:rowOff>0</xdr:rowOff>
    </xdr:from>
    <xdr:to>
      <xdr:col>5</xdr:col>
      <xdr:colOff>11546</xdr:colOff>
      <xdr:row>66</xdr:row>
      <xdr:rowOff>181185</xdr:rowOff>
    </xdr:to>
    <xdr:pic>
      <xdr:nvPicPr>
        <xdr:cNvPr id="230" name="Bilde 229">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 y="12838545"/>
          <a:ext cx="3463636" cy="573731"/>
        </a:xfrm>
        <a:prstGeom prst="rect">
          <a:avLst/>
        </a:prstGeom>
      </xdr:spPr>
    </xdr:pic>
    <xdr:clientData/>
  </xdr:twoCellAnchor>
  <xdr:twoCellAnchor editAs="oneCell">
    <xdr:from>
      <xdr:col>6</xdr:col>
      <xdr:colOff>507999</xdr:colOff>
      <xdr:row>75</xdr:row>
      <xdr:rowOff>31641</xdr:rowOff>
    </xdr:from>
    <xdr:to>
      <xdr:col>13</xdr:col>
      <xdr:colOff>380999</xdr:colOff>
      <xdr:row>79</xdr:row>
      <xdr:rowOff>25400</xdr:rowOff>
    </xdr:to>
    <xdr:pic>
      <xdr:nvPicPr>
        <xdr:cNvPr id="3" name="Bil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64363" y="15029186"/>
          <a:ext cx="4802909" cy="778850"/>
        </a:xfrm>
        <a:prstGeom prst="rect">
          <a:avLst/>
        </a:prstGeom>
      </xdr:spPr>
    </xdr:pic>
    <xdr:clientData/>
  </xdr:twoCellAnchor>
  <xdr:twoCellAnchor editAs="oneCell">
    <xdr:from>
      <xdr:col>7</xdr:col>
      <xdr:colOff>11545</xdr:colOff>
      <xdr:row>63</xdr:row>
      <xdr:rowOff>51472</xdr:rowOff>
    </xdr:from>
    <xdr:to>
      <xdr:col>10</xdr:col>
      <xdr:colOff>381000</xdr:colOff>
      <xdr:row>68</xdr:row>
      <xdr:rowOff>73891</xdr:rowOff>
    </xdr:to>
    <xdr:pic>
      <xdr:nvPicPr>
        <xdr:cNvPr id="4" name="Bild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1732"/>
        <a:stretch/>
      </xdr:blipFill>
      <xdr:spPr>
        <a:xfrm>
          <a:off x="4872181" y="12693745"/>
          <a:ext cx="2482274" cy="1003782"/>
        </a:xfrm>
        <a:prstGeom prst="rect">
          <a:avLst/>
        </a:prstGeom>
        <a:ln w="19050">
          <a:solidFill>
            <a:schemeClr val="tx1"/>
          </a:solidFill>
        </a:ln>
      </xdr:spPr>
    </xdr:pic>
    <xdr:clientData/>
  </xdr:twoCellAnchor>
  <xdr:twoCellAnchor editAs="oneCell">
    <xdr:from>
      <xdr:col>10</xdr:col>
      <xdr:colOff>542637</xdr:colOff>
      <xdr:row>63</xdr:row>
      <xdr:rowOff>11544</xdr:rowOff>
    </xdr:from>
    <xdr:to>
      <xdr:col>14</xdr:col>
      <xdr:colOff>748147</xdr:colOff>
      <xdr:row>74</xdr:row>
      <xdr:rowOff>113144</xdr:rowOff>
    </xdr:to>
    <xdr:pic>
      <xdr:nvPicPr>
        <xdr:cNvPr id="8" name="Bild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6092" y="12653817"/>
          <a:ext cx="3022600" cy="2260600"/>
        </a:xfrm>
        <a:prstGeom prst="rect">
          <a:avLst/>
        </a:prstGeom>
        <a:ln w="19050">
          <a:solidFill>
            <a:schemeClr val="tx1"/>
          </a:solidFill>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autoPageBreaks="0" fitToPage="1"/>
  </sheetPr>
  <dimension ref="A1:JK209"/>
  <sheetViews>
    <sheetView showGridLines="0" zoomScale="110" zoomScaleNormal="110" zoomScalePageLayoutView="110" workbookViewId="0">
      <selection activeCell="D3" sqref="D3:E3"/>
    </sheetView>
  </sheetViews>
  <sheetFormatPr baseColWidth="10" defaultColWidth="9.33203125" defaultRowHeight="12.75"/>
  <cols>
    <col min="1" max="1" width="11.83203125" style="1" customWidth="1"/>
    <col min="2" max="10" width="10.83203125" style="1" customWidth="1"/>
    <col min="11" max="11" width="9.83203125" style="1" customWidth="1"/>
    <col min="12" max="21" width="10.83203125" style="1" customWidth="1"/>
    <col min="22" max="28" width="9.33203125" style="1" hidden="1" customWidth="1"/>
    <col min="29" max="29" width="9.83203125" style="1" hidden="1" customWidth="1"/>
    <col min="30" max="45" width="10" style="1" hidden="1" customWidth="1"/>
    <col min="46" max="46" width="1" style="1" hidden="1" customWidth="1"/>
    <col min="47" max="65" width="11.6640625" style="1" hidden="1" customWidth="1"/>
    <col min="66" max="67" width="14.33203125" style="1" hidden="1" customWidth="1"/>
    <col min="68" max="271" width="9.33203125" style="1" hidden="1" customWidth="1"/>
    <col min="272" max="411" width="9.33203125" style="1" customWidth="1"/>
    <col min="412" max="16384" width="9.33203125" style="1"/>
  </cols>
  <sheetData>
    <row r="1" spans="1:24" ht="29.1"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 customHeight="1">
      <c r="A2" s="241" t="s">
        <v>0</v>
      </c>
      <c r="B2" s="241"/>
      <c r="C2" s="241"/>
      <c r="D2" s="241"/>
      <c r="E2" s="241"/>
      <c r="F2" s="241"/>
      <c r="G2" s="241"/>
      <c r="H2" s="241"/>
      <c r="I2" s="241"/>
      <c r="J2" s="241"/>
      <c r="K2" s="241"/>
      <c r="L2" s="241"/>
      <c r="M2" s="241"/>
      <c r="N2" s="241"/>
      <c r="O2" s="37"/>
      <c r="P2" s="37"/>
      <c r="Q2" s="37"/>
      <c r="R2" s="37"/>
      <c r="S2" s="37"/>
      <c r="T2" s="37"/>
      <c r="U2" s="37"/>
      <c r="V2" s="37"/>
    </row>
    <row r="3" spans="1:24" ht="12.75" customHeight="1">
      <c r="A3" s="200"/>
      <c r="B3" s="133"/>
      <c r="C3" s="134" t="s">
        <v>1</v>
      </c>
      <c r="D3" s="233"/>
      <c r="E3" s="234"/>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v>0</v>
      </c>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v>7000</v>
      </c>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v>1000</v>
      </c>
      <c r="F7" s="21"/>
      <c r="G7" s="21"/>
      <c r="H7" s="21"/>
      <c r="I7" s="21"/>
      <c r="J7" s="21"/>
      <c r="K7" s="21"/>
      <c r="L7" s="37"/>
      <c r="M7" s="37"/>
      <c r="N7" s="37"/>
      <c r="O7" s="37"/>
      <c r="P7" s="203">
        <f t="shared" ref="P7:P16" si="0">+P6+Intervall</f>
        <v>1000</v>
      </c>
      <c r="Q7" s="204"/>
      <c r="R7" s="205"/>
      <c r="S7" s="21"/>
      <c r="T7" s="21"/>
      <c r="U7" s="21"/>
      <c r="V7" s="21"/>
    </row>
    <row r="8" spans="1:24" ht="12.75" customHeight="1">
      <c r="A8" s="201"/>
      <c r="B8" s="3"/>
      <c r="C8" s="3"/>
      <c r="D8" s="31" t="s">
        <v>8</v>
      </c>
      <c r="E8" s="45">
        <v>24</v>
      </c>
      <c r="F8" s="21"/>
      <c r="G8" s="21"/>
      <c r="H8" s="21"/>
      <c r="I8" s="21"/>
      <c r="J8" s="21"/>
      <c r="K8" s="21"/>
      <c r="L8" s="37"/>
      <c r="M8" s="37"/>
      <c r="N8" s="37"/>
      <c r="O8" s="37"/>
      <c r="P8" s="203">
        <f t="shared" si="0"/>
        <v>2000</v>
      </c>
      <c r="Q8" s="204"/>
      <c r="R8" s="205"/>
      <c r="S8" s="21"/>
      <c r="T8" s="21"/>
      <c r="U8" s="21"/>
      <c r="V8" s="21"/>
    </row>
    <row r="9" spans="1:24" ht="12.75" customHeight="1">
      <c r="A9" s="201"/>
      <c r="B9" s="3"/>
      <c r="C9" s="3"/>
      <c r="D9" s="31" t="s">
        <v>9</v>
      </c>
      <c r="E9" s="45">
        <v>2</v>
      </c>
      <c r="F9" s="21"/>
      <c r="G9" s="21"/>
      <c r="H9" s="21"/>
      <c r="I9" s="21"/>
      <c r="J9" s="21"/>
      <c r="K9" s="21"/>
      <c r="L9" s="37"/>
      <c r="M9" s="37"/>
      <c r="N9" s="37"/>
      <c r="O9" s="37"/>
      <c r="P9" s="203">
        <f t="shared" si="0"/>
        <v>3000</v>
      </c>
      <c r="Q9" s="204"/>
      <c r="R9" s="205"/>
      <c r="S9" s="21"/>
      <c r="T9" s="21"/>
      <c r="U9" s="21"/>
      <c r="V9" s="21"/>
    </row>
    <row r="10" spans="1:24" ht="12.75" customHeight="1">
      <c r="A10" s="201"/>
      <c r="B10" s="3"/>
      <c r="C10" s="3"/>
      <c r="D10" s="31" t="s">
        <v>96</v>
      </c>
      <c r="E10" s="40">
        <v>8</v>
      </c>
      <c r="F10" s="21"/>
      <c r="G10" s="21"/>
      <c r="H10" s="21"/>
      <c r="I10" s="21"/>
      <c r="J10" s="21"/>
      <c r="K10" s="21"/>
      <c r="L10" s="37"/>
      <c r="M10" s="37"/>
      <c r="N10" s="37"/>
      <c r="O10" s="37"/>
      <c r="P10" s="203">
        <f t="shared" si="0"/>
        <v>4000</v>
      </c>
      <c r="Q10" s="204"/>
      <c r="R10" s="205"/>
      <c r="S10" s="21"/>
      <c r="T10" s="21"/>
      <c r="U10" s="21"/>
      <c r="V10" s="21"/>
    </row>
    <row r="11" spans="1:24" ht="12.75" customHeight="1">
      <c r="A11" s="235" t="s">
        <v>100</v>
      </c>
      <c r="B11" s="236"/>
      <c r="C11" s="236"/>
      <c r="D11" s="236"/>
      <c r="E11" s="237"/>
      <c r="F11" s="21"/>
      <c r="G11" s="21"/>
      <c r="H11" s="21"/>
      <c r="I11" s="21"/>
      <c r="J11" s="21"/>
      <c r="K11" s="21"/>
      <c r="L11" s="37"/>
      <c r="M11" s="37"/>
      <c r="N11" s="37"/>
      <c r="O11" s="37"/>
      <c r="P11" s="203">
        <f t="shared" si="0"/>
        <v>5000</v>
      </c>
      <c r="Q11" s="204"/>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6000</v>
      </c>
      <c r="Q12" s="204"/>
      <c r="R12" s="205"/>
      <c r="S12" s="21"/>
      <c r="T12" s="21"/>
      <c r="U12" s="21"/>
      <c r="V12" s="21"/>
    </row>
    <row r="13" spans="1:24" ht="12.75" customHeight="1">
      <c r="A13" s="202"/>
      <c r="B13" s="4"/>
      <c r="C13" s="4"/>
      <c r="D13" s="32" t="s">
        <v>67</v>
      </c>
      <c r="E13" s="43"/>
      <c r="F13" s="21"/>
      <c r="G13" s="21"/>
      <c r="H13" s="21"/>
      <c r="I13" s="21"/>
      <c r="J13" s="21"/>
      <c r="K13" s="21"/>
      <c r="L13" s="37"/>
      <c r="M13" s="37"/>
      <c r="N13" s="37"/>
      <c r="O13" s="37"/>
      <c r="P13" s="203">
        <f t="shared" si="0"/>
        <v>7000</v>
      </c>
      <c r="Q13" s="204"/>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8000</v>
      </c>
      <c r="Q14" s="204"/>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9000</v>
      </c>
      <c r="Q15" s="204"/>
      <c r="R15" s="205"/>
      <c r="S15" s="21"/>
      <c r="T15" s="21"/>
      <c r="U15" s="21"/>
      <c r="V15" s="21"/>
    </row>
    <row r="16" spans="1:24" ht="12.75" customHeight="1">
      <c r="A16" s="238" t="s">
        <v>66</v>
      </c>
      <c r="B16" s="239"/>
      <c r="C16" s="239"/>
      <c r="D16" s="239"/>
      <c r="E16" s="240"/>
      <c r="F16" s="22"/>
      <c r="G16" s="21"/>
      <c r="H16" s="21"/>
      <c r="I16" s="21"/>
      <c r="J16" s="21"/>
      <c r="K16" s="21"/>
      <c r="L16" s="37"/>
      <c r="M16" s="37"/>
      <c r="N16" s="37"/>
      <c r="O16" s="37"/>
      <c r="P16" s="206">
        <f t="shared" si="0"/>
        <v>10000</v>
      </c>
      <c r="Q16" s="207"/>
      <c r="R16" s="208"/>
      <c r="S16" s="21"/>
      <c r="T16" s="21"/>
      <c r="U16" s="21"/>
      <c r="V16" s="21"/>
    </row>
    <row r="17" spans="1:22" ht="12.75" customHeight="1">
      <c r="A17" s="135"/>
      <c r="B17" s="22"/>
      <c r="C17" s="22"/>
      <c r="D17" s="66" t="s">
        <v>38</v>
      </c>
      <c r="E17" s="136"/>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c r="A23" s="161"/>
      <c r="B23" s="162"/>
      <c r="C23" s="162"/>
      <c r="D23" s="162"/>
      <c r="E23" s="163"/>
      <c r="F23" s="153"/>
      <c r="G23" s="153"/>
      <c r="H23" s="153"/>
      <c r="I23" s="153"/>
      <c r="J23" s="153"/>
      <c r="K23" s="21"/>
      <c r="L23" s="37"/>
      <c r="M23" s="37"/>
      <c r="N23" s="37"/>
      <c r="O23" s="37"/>
      <c r="P23" s="22"/>
      <c r="Q23" s="22"/>
      <c r="R23" s="22"/>
      <c r="S23" s="22"/>
      <c r="T23" s="21"/>
      <c r="U23" s="21"/>
      <c r="V23" s="21"/>
    </row>
    <row r="24" spans="1:22">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c r="A33" s="161" t="s">
        <v>131</v>
      </c>
      <c r="B33" s="158"/>
      <c r="C33" s="157"/>
      <c r="D33" s="157"/>
      <c r="E33" s="157"/>
      <c r="F33" s="157"/>
      <c r="G33" s="157"/>
      <c r="H33" s="175"/>
      <c r="I33" s="153"/>
      <c r="J33" s="135"/>
      <c r="K33" s="22"/>
      <c r="L33" s="22"/>
      <c r="M33" s="22"/>
      <c r="N33" s="182"/>
      <c r="O33" s="176"/>
      <c r="P33" s="22"/>
      <c r="Q33" s="22"/>
      <c r="R33" s="22"/>
      <c r="S33" s="22"/>
      <c r="T33" s="21"/>
      <c r="U33" s="21"/>
      <c r="V33" s="21"/>
    </row>
    <row r="34" spans="1:55">
      <c r="A34" s="224" t="s">
        <v>132</v>
      </c>
      <c r="B34" s="224"/>
      <c r="C34" s="225" t="str">
        <f>IF(($A$42-$A$44)&lt;&gt;0,A42&amp;"-"&amp;A44,"")</f>
        <v>0-1000</v>
      </c>
      <c r="D34" s="225" t="str">
        <f>IF(($A$44-$A$46)&lt;&gt;0,A44&amp;"-"&amp;A46,"")</f>
        <v>1000-2000</v>
      </c>
      <c r="E34" s="225" t="str">
        <f>IF(($A$46-$A$48)&lt;&gt;0,A46&amp;"-"&amp;A48,"")</f>
        <v>2000-3000</v>
      </c>
      <c r="F34" s="225" t="str">
        <f>IF(($A$48-$A$50)&lt;&gt;0,A48&amp;"-"&amp;A50,"")</f>
        <v>3000-4000</v>
      </c>
      <c r="G34" s="225" t="str">
        <f>IF(($A$50-$A$52)&lt;&gt;0,A50&amp;"-"&amp;A52,"")</f>
        <v>4000-5000</v>
      </c>
      <c r="H34" s="175"/>
      <c r="I34" s="153"/>
      <c r="J34" s="135"/>
      <c r="K34" s="22"/>
      <c r="L34" s="22"/>
      <c r="M34" s="22"/>
      <c r="N34" s="182"/>
      <c r="O34" s="176"/>
      <c r="P34" s="22"/>
      <c r="Q34" s="22"/>
      <c r="R34" s="22"/>
      <c r="S34" s="22"/>
      <c r="T34" s="21"/>
      <c r="U34" s="21"/>
      <c r="V34" s="21"/>
    </row>
    <row r="35" spans="1:55">
      <c r="A35" s="224" t="s">
        <v>133</v>
      </c>
      <c r="B35" s="224"/>
      <c r="C35" s="228" t="str">
        <f>(IF(tabell2=0,"",((A44-tabell2)/tabell2)/((B42-B44)/B44)))</f>
        <v/>
      </c>
      <c r="D35" s="228">
        <f>(IF(A44*B46=0,"",-((A46-A44)/A44)/((B46-B44)/B46)))</f>
        <v>10</v>
      </c>
      <c r="E35" s="229">
        <f>(IF(A46*B48=0,"",-((A48-A46)/A46)/((B48-B46)/B48)))</f>
        <v>4.5</v>
      </c>
      <c r="F35" s="229">
        <f>(IF((A48*B50)=0,"",-((A50-A48)/A48)/((B50-B48)/B50)))</f>
        <v>2.6666666666666665</v>
      </c>
      <c r="G35" s="229">
        <f>(IF((A50*B52)=0,"",-((A52-A50)/A50)/((B52-B50)/B52)))</f>
        <v>1.75</v>
      </c>
      <c r="H35" s="175"/>
      <c r="I35" s="153"/>
      <c r="J35" s="135"/>
      <c r="K35" s="22"/>
      <c r="L35" s="22"/>
      <c r="M35" s="22"/>
      <c r="N35" s="182"/>
      <c r="O35" s="176"/>
      <c r="P35" s="22"/>
      <c r="Q35" s="22"/>
      <c r="R35" s="22"/>
      <c r="S35" s="22"/>
      <c r="T35" s="21"/>
      <c r="U35" s="21"/>
      <c r="V35" s="21"/>
    </row>
    <row r="36" spans="1:55">
      <c r="A36" s="224" t="s">
        <v>132</v>
      </c>
      <c r="B36" s="224"/>
      <c r="C36" s="225" t="str">
        <f>IF(($A$52-$A$54)&lt;&gt;0,A52&amp;"-"&amp;A54,"")</f>
        <v>5000-6000</v>
      </c>
      <c r="D36" s="225" t="str">
        <f>IF(($A$54-$A$56)&lt;&gt;0,A54&amp;"-"&amp;A56,"")</f>
        <v>6000-7000</v>
      </c>
      <c r="E36" s="225" t="str">
        <f>IF(($A$56-$A$58)&lt;&gt;0,A56&amp;"-"&amp;A58,"")</f>
        <v>7000-0</v>
      </c>
      <c r="F36" s="226" t="str">
        <f>IF(($A$58-$A$60)&lt;&gt;0,A58&amp;"-"&amp;A60,"")</f>
        <v/>
      </c>
      <c r="G36" s="226" t="str">
        <f>IF(($A$60-$A$62)&lt;&gt;0,A60&amp;"-"&amp;A62,"")</f>
        <v/>
      </c>
      <c r="H36" s="175"/>
      <c r="I36" s="153"/>
      <c r="J36" s="137"/>
      <c r="K36" s="138"/>
      <c r="L36" s="138"/>
      <c r="M36" s="138"/>
      <c r="N36" s="184"/>
      <c r="O36" s="177"/>
      <c r="P36" s="22"/>
      <c r="Q36" s="22"/>
      <c r="R36" s="22"/>
      <c r="S36" s="22"/>
      <c r="T36" s="21"/>
      <c r="U36" s="21"/>
      <c r="V36" s="21"/>
    </row>
    <row r="37" spans="1:55">
      <c r="A37" s="224" t="s">
        <v>133</v>
      </c>
      <c r="B37" s="227"/>
      <c r="C37" s="228">
        <f>(IF(A52*B54=0,"",-((A54-A52)/A52)/((B54-B52)/B54)))</f>
        <v>1.2000000000000002</v>
      </c>
      <c r="D37" s="228">
        <f>(IF(A54*B56=0,"",-((A56-A54)/A54)/((B56-B54)/B56)))</f>
        <v>0.83333333333333326</v>
      </c>
      <c r="E37" s="229" t="str">
        <f>(IF(A56*B58=0,"",-((A58-A56)/A56)/((B58-B56)/B58)))</f>
        <v/>
      </c>
      <c r="F37" s="229" t="str">
        <f>(IF(A58*B60=0,"",-((A60-A58)/A58)/((B60-B58)/B60)))</f>
        <v/>
      </c>
      <c r="G37" s="229" t="str">
        <f>(IF(A60*B62=0,"",-((A62-A60)/A60)/((B62-B60)/B62)))</f>
        <v/>
      </c>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32" t="s">
        <v>77</v>
      </c>
      <c r="X39" s="232"/>
      <c r="Y39" s="232"/>
      <c r="Z39" s="232"/>
      <c r="AD39" s="5" t="s">
        <v>65</v>
      </c>
      <c r="AE39" s="7"/>
      <c r="AF39" s="7"/>
      <c r="AG39" s="7"/>
      <c r="AH39" s="7"/>
      <c r="AI39" s="6"/>
      <c r="AJ39" s="6"/>
      <c r="AK39" s="6"/>
      <c r="AL39" s="7"/>
      <c r="AM39" s="7"/>
      <c r="AN39" s="7"/>
      <c r="AO39" s="7"/>
      <c r="AP39" s="120" t="str">
        <f>IF(E12=0,"","Resultat "&amp;C14&amp;" må regnes manuelt")</f>
        <v/>
      </c>
      <c r="BC39" s="1" t="str">
        <f>IF(Q14=0,"",Q14)</f>
        <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5"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24</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24</v>
      </c>
      <c r="N42" s="52">
        <f>W42*M42</f>
        <v>0</v>
      </c>
      <c r="O42" s="52"/>
      <c r="P42" s="52">
        <f>FTK</f>
        <v>0</v>
      </c>
      <c r="Q42" s="52">
        <f>IF(Q6=0,IF(R6=0,VEK*m,P6*R6),Q6)</f>
        <v>0</v>
      </c>
      <c r="R42" s="52">
        <f>P42+Q42</f>
        <v>0</v>
      </c>
      <c r="S42" s="52"/>
      <c r="T42" s="52">
        <f>N42-stk</f>
        <v>0</v>
      </c>
      <c r="U42" s="52">
        <f>N42-vtk</f>
        <v>0</v>
      </c>
      <c r="W42" s="60">
        <f>Startmengde</f>
        <v>0</v>
      </c>
      <c r="X42" s="88">
        <f>E14</f>
        <v>0</v>
      </c>
      <c r="Y42" s="52">
        <f>IF(X42=0,0,X42*_mm2)</f>
        <v>0</v>
      </c>
      <c r="Z42" s="52">
        <f>IF(N42=0,0,N42+Y42)</f>
        <v>0</v>
      </c>
      <c r="AB42" s="64" t="str">
        <f>IF(EP=0,"",IF(BA99=0,"",BA99))</f>
        <v/>
      </c>
      <c r="AD42" s="73">
        <f>IF(Startmengde="","",AU98)</f>
        <v>0</v>
      </c>
      <c r="AE42" s="126">
        <f>IF(Startmengde="","",AV98)</f>
        <v>0</v>
      </c>
      <c r="AF42" s="127">
        <f>IF(Startmengde="","",IF(EP=0,0,IF(AD42=0,0,BA98)))</f>
        <v>0</v>
      </c>
      <c r="AG42" s="74">
        <f>IF(stoppmengde="","",AZ98)</f>
        <v>0</v>
      </c>
      <c r="AH42" s="74" t="str">
        <f>IF(EFTK=0,"",IF(BE98=0,"",BE98))</f>
        <v/>
      </c>
      <c r="AI42" s="74" t="str">
        <f>IF(AX98=0,"",AX98)</f>
        <v/>
      </c>
      <c r="AJ42" s="74" t="str">
        <f>IF(EVK=0,"",IF(BC98=0,"",BC98))</f>
        <v/>
      </c>
      <c r="AK42" s="74">
        <f>IF(stoppmengde="","",AW98)</f>
        <v>0</v>
      </c>
      <c r="AL42" s="74" t="str">
        <f>IF((EVK+EFTK)=0,"",IF(BB98=0,"",BB98))</f>
        <v/>
      </c>
      <c r="AM42" s="127">
        <f>IF(mengde3="","",AY98)</f>
        <v>0</v>
      </c>
      <c r="AN42" s="127" t="str">
        <f>IF((EVK+EFTK+EP)=0,"",IF(mengde3="","",BD98))</f>
        <v/>
      </c>
      <c r="AO42" s="127">
        <f>IF(mengde3="","",BF98)</f>
        <v>0</v>
      </c>
      <c r="AP42" s="130" t="str">
        <f>IF((EVK+EFTK+EP)=0,"",IF(mengde3="","",BG98))</f>
        <v/>
      </c>
    </row>
    <row r="43" spans="1:55" ht="12" customHeight="1">
      <c r="A43" s="60"/>
      <c r="B43" s="88"/>
      <c r="C43" s="53">
        <f>IF(O43=0,0,O43/($W44-$W42))</f>
        <v>22</v>
      </c>
      <c r="D43" s="88"/>
      <c r="E43" s="88"/>
      <c r="F43" s="53"/>
      <c r="G43" s="53"/>
      <c r="H43" s="53">
        <f>IF(S43=0,0,S43/($W44-$W42))</f>
        <v>0</v>
      </c>
      <c r="I43" s="53"/>
      <c r="J43" s="53"/>
      <c r="L43" s="60"/>
      <c r="M43" s="88"/>
      <c r="N43" s="52"/>
      <c r="O43" s="52">
        <f>IF(stoppmengde&lt;=W42,0,N44-N42)</f>
        <v>22000</v>
      </c>
      <c r="P43" s="52"/>
      <c r="Q43" s="52"/>
      <c r="R43" s="52"/>
      <c r="S43" s="52">
        <f>IF(stoppmengde&lt;=W42,0,R44-R42)</f>
        <v>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1000</v>
      </c>
      <c r="B44" s="88">
        <f>IF(M44=0,0,M44)</f>
        <v>22</v>
      </c>
      <c r="C44" s="53"/>
      <c r="D44" s="88">
        <f>IF(A44=0,0,D42)</f>
        <v>0</v>
      </c>
      <c r="E44" s="88">
        <f>IF(P44=0,0,IF($W44=0,0,P44/$W44))</f>
        <v>0</v>
      </c>
      <c r="F44" s="53">
        <f>IF(Q44=0,0,IF($W44=0,0,Q44/$W44))</f>
        <v>0</v>
      </c>
      <c r="G44" s="53">
        <f>IF(L44=0,F44,E44+F44)</f>
        <v>0</v>
      </c>
      <c r="H44" s="53"/>
      <c r="I44" s="53">
        <f>IF(A44=0,0,T44/mengde2)</f>
        <v>22</v>
      </c>
      <c r="J44" s="53">
        <f>IF(A44=0,0,U44/mengde2)</f>
        <v>22</v>
      </c>
      <c r="L44" s="60">
        <f>IF(W44&lt;=stoppmengde,W44,0)</f>
        <v>1000</v>
      </c>
      <c r="M44" s="88">
        <f>IF(m&gt;stoppmengde,0,M42-$E$9)</f>
        <v>22</v>
      </c>
      <c r="N44" s="52">
        <f>IF(m&gt;stoppmengde,0,W44*M44)</f>
        <v>22000</v>
      </c>
      <c r="O44" s="52"/>
      <c r="P44" s="52">
        <f>IF(m&gt;stoppmengde,0,FTK)</f>
        <v>0</v>
      </c>
      <c r="Q44" s="52">
        <f>IF(m&gt;stoppmengde,0,IF(Q7=0,IF(R7=0,VEK*m,P7*R7),Q7))</f>
        <v>0</v>
      </c>
      <c r="R44" s="52">
        <f>P44+Q44</f>
        <v>0</v>
      </c>
      <c r="S44" s="52"/>
      <c r="T44" s="52">
        <f>IF(L44=0,0,N44-stk)</f>
        <v>22000</v>
      </c>
      <c r="U44" s="52">
        <f>IF(L44=0,0,N44-vtk)</f>
        <v>22000</v>
      </c>
      <c r="W44" s="60">
        <f>W42+Intervall</f>
        <v>1000</v>
      </c>
      <c r="X44" s="88">
        <f>IF(m&gt;stoppmengde,0,X42)</f>
        <v>0</v>
      </c>
      <c r="Y44" s="52">
        <f>IF(X44=0,0,X44*_mm2)</f>
        <v>0</v>
      </c>
      <c r="Z44" s="52">
        <f>IF(N44=0,0,N44+Y44)</f>
        <v>22000</v>
      </c>
      <c r="AD44" s="75">
        <f>IF(AU99=0,"",AU99)</f>
        <v>1000</v>
      </c>
      <c r="AE44" s="127">
        <f>IF(AD44="","",AV99)</f>
        <v>22000</v>
      </c>
      <c r="AF44" s="127" t="str">
        <f>IF(EP=0,"",IF(AD44="","",BA99))</f>
        <v/>
      </c>
      <c r="AG44" s="74" t="str">
        <f>IF(AZ99=0,"",AZ99)</f>
        <v/>
      </c>
      <c r="AH44" s="74" t="str">
        <f>IF(EFTK=0,"",IF(BE99=0,"",BE99))</f>
        <v/>
      </c>
      <c r="AI44" s="74" t="str">
        <f>IF(AX99=0,"",AX99)</f>
        <v/>
      </c>
      <c r="AJ44" s="74" t="str">
        <f>IF(EVK=0,"",IF(BC99=0,"",BC99))</f>
        <v/>
      </c>
      <c r="AK44" s="74" t="str">
        <f>IF(AW99=0,"",AW99)</f>
        <v/>
      </c>
      <c r="AL44" s="74" t="str">
        <f>IF((EVK+EFTK)=0,"",IF(BB99=0,"",BB99))</f>
        <v/>
      </c>
      <c r="AM44" s="127">
        <f>IF(mengde3="","",AY99)</f>
        <v>22000</v>
      </c>
      <c r="AN44" s="127" t="str">
        <f>IF((EVK+EFTK+EP)=0,"",IF(mengde3="","",BD99))</f>
        <v/>
      </c>
      <c r="AO44" s="127">
        <f>IF(mengde3="","",BF99)</f>
        <v>22000</v>
      </c>
      <c r="AP44" s="131" t="str">
        <f>IF((EVK+EFTK+EP)=0,"",IF(mengde3="","",BG99))</f>
        <v/>
      </c>
    </row>
    <row r="45" spans="1:55" ht="12" customHeight="1">
      <c r="A45" s="60"/>
      <c r="B45" s="88"/>
      <c r="C45" s="53">
        <f>IF(O45=0,0,O45/($W46-$W44))</f>
        <v>18</v>
      </c>
      <c r="D45" s="88"/>
      <c r="E45" s="88"/>
      <c r="F45" s="53"/>
      <c r="G45" s="53"/>
      <c r="H45" s="53">
        <f>IF(S45=0,0,S45/($W46-$W44))</f>
        <v>0</v>
      </c>
      <c r="I45" s="53"/>
      <c r="J45" s="53"/>
      <c r="L45" s="60"/>
      <c r="M45" s="88"/>
      <c r="N45" s="52"/>
      <c r="O45" s="52">
        <f>IF(stoppmengde&lt;=W44,0,N46-N44)</f>
        <v>18000</v>
      </c>
      <c r="P45" s="52"/>
      <c r="Q45" s="52"/>
      <c r="R45" s="52"/>
      <c r="S45" s="52">
        <f>IF(stoppmengde&lt;=W44,0,R46-R44)</f>
        <v>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2000</v>
      </c>
      <c r="B46" s="88">
        <f>IF(M46=0,0,M46)</f>
        <v>20</v>
      </c>
      <c r="C46" s="53"/>
      <c r="D46" s="88">
        <f>IF(A46=0,0,D44)</f>
        <v>0</v>
      </c>
      <c r="E46" s="88">
        <f>IF(P46=0,0,IF($W46=0,0,P46/$W46))</f>
        <v>0</v>
      </c>
      <c r="F46" s="53">
        <f>IF(Q46=0,0,IF($W46=0,0,Q46/$W46))</f>
        <v>0</v>
      </c>
      <c r="G46" s="53">
        <f>IF(L46=0,F46,E46+F46)</f>
        <v>0</v>
      </c>
      <c r="H46" s="53"/>
      <c r="I46" s="53">
        <f>IF(A46=0,0,T46/mengde2)</f>
        <v>20</v>
      </c>
      <c r="J46" s="53">
        <f>IF(A46=0,0,U46/mengde2)</f>
        <v>20</v>
      </c>
      <c r="L46" s="60">
        <f>IF(W46&lt;=stoppmengde,W46,0)</f>
        <v>2000</v>
      </c>
      <c r="M46" s="88">
        <f>IF(m&gt;stoppmengde,0,M44-$E$9)</f>
        <v>20</v>
      </c>
      <c r="N46" s="52">
        <f>IF(m&gt;stoppmengde,0,W46*M46)</f>
        <v>40000</v>
      </c>
      <c r="O46" s="52"/>
      <c r="P46" s="52">
        <f>IF(m&gt;stoppmengde,0,FTK)</f>
        <v>0</v>
      </c>
      <c r="Q46" s="52">
        <f>IF(m&gt;stoppmengde,0,IF(Q8=0,IF(R8=0,VEK*m,P8*R8),Q8))</f>
        <v>0</v>
      </c>
      <c r="R46" s="52">
        <f>P46+Q46</f>
        <v>0</v>
      </c>
      <c r="S46" s="52"/>
      <c r="T46" s="52">
        <f>IF(L46=0,0,N46-stk)</f>
        <v>40000</v>
      </c>
      <c r="U46" s="52">
        <f>IF(L46=0,0,N46-vtk)</f>
        <v>40000</v>
      </c>
      <c r="W46" s="60">
        <f>W44+Intervall</f>
        <v>2000</v>
      </c>
      <c r="X46" s="88">
        <f>IF(m&gt;stoppmengde,0,X44)</f>
        <v>0</v>
      </c>
      <c r="Y46" s="52">
        <f>IF(X46=0,0,X46*_mm2)</f>
        <v>0</v>
      </c>
      <c r="Z46" s="52">
        <f>IF(N46=0,0,N46+Y46)</f>
        <v>40000</v>
      </c>
      <c r="AD46" s="75">
        <f>IF(AU100=0,"",AU100)</f>
        <v>2000</v>
      </c>
      <c r="AE46" s="127">
        <f>IF(AD46="","",AV100)</f>
        <v>40000</v>
      </c>
      <c r="AF46" s="127" t="str">
        <f>IF(EP=0,"",IF(AD46="","",BA100))</f>
        <v/>
      </c>
      <c r="AG46" s="74" t="str">
        <f>IF(AZ100=0,"",AZ100)</f>
        <v/>
      </c>
      <c r="AH46" s="74" t="str">
        <f>IF(EFTK=0,"",IF(BE100=0,"",BE100))</f>
        <v/>
      </c>
      <c r="AI46" s="74" t="str">
        <f>IF(AX100=0,"",AX100)</f>
        <v/>
      </c>
      <c r="AJ46" s="74" t="str">
        <f>IF(EVK=0,"",IF(BC100=0,"",BC100))</f>
        <v/>
      </c>
      <c r="AK46" s="74" t="str">
        <f>IF(AW100=0,"",AW100)</f>
        <v/>
      </c>
      <c r="AL46" s="74" t="str">
        <f>IF((EVK+EFTK)=0,"",IF(BB100=0,"",BB100))</f>
        <v/>
      </c>
      <c r="AM46" s="127">
        <f>IF(mengde3="","",AY100)</f>
        <v>40000</v>
      </c>
      <c r="AN46" s="127" t="str">
        <f>IF((EVK+EFTK+EP)=0,"",IF(mengde3="","",BD100))</f>
        <v/>
      </c>
      <c r="AO46" s="127">
        <f>IF(mengde3="","",BF100)</f>
        <v>40000</v>
      </c>
      <c r="AP46" s="131" t="str">
        <f>IF((EVK+EFTK+EP)=0,"",IF(mengde3="","",BG100))</f>
        <v/>
      </c>
    </row>
    <row r="47" spans="1:55" ht="12" customHeight="1">
      <c r="A47" s="60"/>
      <c r="B47" s="88"/>
      <c r="C47" s="53">
        <f>IF(O47=0,0,O47/($W48-$W46))</f>
        <v>14</v>
      </c>
      <c r="D47" s="88"/>
      <c r="E47" s="88"/>
      <c r="F47" s="53"/>
      <c r="G47" s="53"/>
      <c r="H47" s="53">
        <f>IF(S47=0,0,S47/($W48-$W46))</f>
        <v>0</v>
      </c>
      <c r="I47" s="53"/>
      <c r="J47" s="53"/>
      <c r="L47" s="60"/>
      <c r="M47" s="88"/>
      <c r="N47" s="52"/>
      <c r="O47" s="52">
        <f>IF(stoppmengde&lt;=W46,0,N48-N46)</f>
        <v>14000</v>
      </c>
      <c r="P47" s="52"/>
      <c r="Q47" s="52"/>
      <c r="R47" s="52"/>
      <c r="S47" s="52">
        <f>IF(stoppmengde&lt;=W46,0,R48-R46)</f>
        <v>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3000</v>
      </c>
      <c r="B48" s="88">
        <f>IF(M48=0,0,M48)</f>
        <v>18</v>
      </c>
      <c r="C48" s="53"/>
      <c r="D48" s="88">
        <f>IF(A48=0,0,D46)</f>
        <v>0</v>
      </c>
      <c r="E48" s="88">
        <f>IF(P48=0,0,IF($W48=0,0,P48/$W48))</f>
        <v>0</v>
      </c>
      <c r="F48" s="53">
        <f>IF(Q48=0,0,IF($W48=0,0,Q48/$W48))</f>
        <v>0</v>
      </c>
      <c r="G48" s="53">
        <f>IF(L48=0,F48,E48+F48)</f>
        <v>0</v>
      </c>
      <c r="H48" s="53"/>
      <c r="I48" s="53">
        <f>IF(A48=0,0,T48/mengde2)</f>
        <v>18</v>
      </c>
      <c r="J48" s="53">
        <f>IF(A48=0,0,U48/mengde2)</f>
        <v>18</v>
      </c>
      <c r="L48" s="60">
        <f>IF(W48&lt;=stoppmengde,W48,0)</f>
        <v>3000</v>
      </c>
      <c r="M48" s="88">
        <f>IF(m&gt;stoppmengde,0,M46-$E$9)</f>
        <v>18</v>
      </c>
      <c r="N48" s="52">
        <f>IF(m&gt;stoppmengde,0,W48*M48)</f>
        <v>54000</v>
      </c>
      <c r="O48" s="52"/>
      <c r="P48" s="52">
        <f>IF(m&gt;stoppmengde,0,FTK)</f>
        <v>0</v>
      </c>
      <c r="Q48" s="52">
        <f>IF(m&gt;stoppmengde,0,IF(Q9=0,IF(R9=0,VEK*m,P9*R9),Q9))</f>
        <v>0</v>
      </c>
      <c r="R48" s="52">
        <f>P48+Q48</f>
        <v>0</v>
      </c>
      <c r="S48" s="52"/>
      <c r="T48" s="52">
        <f>IF(L48=0,0,N48-stk)</f>
        <v>54000</v>
      </c>
      <c r="U48" s="52">
        <f>IF(L48=0,0,N48-vtk)</f>
        <v>54000</v>
      </c>
      <c r="W48" s="60">
        <f>W46+Intervall</f>
        <v>3000</v>
      </c>
      <c r="X48" s="88">
        <f>IF(m&gt;stoppmengde,0,X46)</f>
        <v>0</v>
      </c>
      <c r="Y48" s="52">
        <f>IF(X48=0,0,X48*_mm2)</f>
        <v>0</v>
      </c>
      <c r="Z48" s="52">
        <f>IF(N48=0,0,N48+Y48)</f>
        <v>54000</v>
      </c>
      <c r="AD48" s="75">
        <f>IF(AU101=0,"",AU101)</f>
        <v>3000</v>
      </c>
      <c r="AE48" s="127">
        <f>IF(AD48="","",AV101)</f>
        <v>54000</v>
      </c>
      <c r="AF48" s="127" t="str">
        <f>IF(EP=0,"",IF(AD48="","",BA101))</f>
        <v/>
      </c>
      <c r="AG48" s="74" t="str">
        <f>IF(AZ101=0,"",AZ101)</f>
        <v/>
      </c>
      <c r="AH48" s="74" t="str">
        <f>IF(EFTK=0,"",IF(BE101=0,"",BE101))</f>
        <v/>
      </c>
      <c r="AI48" s="74" t="str">
        <f>IF(AX101=0,"",AX101)</f>
        <v/>
      </c>
      <c r="AJ48" s="74" t="str">
        <f>IF(EVK=0,"",IF(BC101=0,"",BC101))</f>
        <v/>
      </c>
      <c r="AK48" s="74" t="str">
        <f>IF(AW101=0,"",AW101)</f>
        <v/>
      </c>
      <c r="AL48" s="74" t="str">
        <f>IF((EVK+EFTK)=0,"",IF(BB101=0,"",BB101))</f>
        <v/>
      </c>
      <c r="AM48" s="127">
        <f>IF(mengde3="","",AY101)</f>
        <v>54000</v>
      </c>
      <c r="AN48" s="127" t="str">
        <f>IF((EVK+EFTK+EP)=0,"",IF(mengde3="","",BD101))</f>
        <v/>
      </c>
      <c r="AO48" s="127">
        <f>IF(mengde3="","",BF101)</f>
        <v>54000</v>
      </c>
      <c r="AP48" s="131" t="str">
        <f>IF((EVK+EFTK+EP)=0,"",IF(mengde3="","",BG101))</f>
        <v/>
      </c>
    </row>
    <row r="49" spans="1:42" ht="12" customHeight="1">
      <c r="A49" s="60"/>
      <c r="B49" s="88"/>
      <c r="C49" s="53">
        <f>IF(O49=0,0,O49/($W50-$W48))</f>
        <v>10</v>
      </c>
      <c r="D49" s="88"/>
      <c r="E49" s="88"/>
      <c r="F49" s="53"/>
      <c r="G49" s="53"/>
      <c r="H49" s="53">
        <f>IF(S49=0,0,S49/($W50-$W48))</f>
        <v>0</v>
      </c>
      <c r="I49" s="53"/>
      <c r="J49" s="53"/>
      <c r="L49" s="60"/>
      <c r="M49" s="88"/>
      <c r="N49" s="52"/>
      <c r="O49" s="52">
        <f>IF(stoppmengde&lt;=W48,0,N50-N48)</f>
        <v>10000</v>
      </c>
      <c r="P49" s="52"/>
      <c r="Q49" s="52"/>
      <c r="R49" s="52"/>
      <c r="S49" s="52">
        <f>IF(stoppmengde&lt;=W48,0,R50-R48)</f>
        <v>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4000</v>
      </c>
      <c r="B50" s="88">
        <f>IF(M50=0,0,M50)</f>
        <v>16</v>
      </c>
      <c r="C50" s="53"/>
      <c r="D50" s="88">
        <f>IF(A50=0,0,D48)</f>
        <v>0</v>
      </c>
      <c r="E50" s="88">
        <f>IF(P50=0,0,IF($W50=0,0,P50/$W50))</f>
        <v>0</v>
      </c>
      <c r="F50" s="53">
        <f>IF(Q50=0,0,IF($W50=0,0,Q50/$W50))</f>
        <v>0</v>
      </c>
      <c r="G50" s="53">
        <f>IF(L50=0,F50,E50+F50)</f>
        <v>0</v>
      </c>
      <c r="H50" s="53"/>
      <c r="I50" s="53">
        <f>IF(A50=0,0,T50/mengde2)</f>
        <v>16</v>
      </c>
      <c r="J50" s="53">
        <f>IF(A50=0,0,U50/mengde2)</f>
        <v>16</v>
      </c>
      <c r="L50" s="60">
        <f>IF(W50&lt;=stoppmengde,W50,0)</f>
        <v>4000</v>
      </c>
      <c r="M50" s="88">
        <f>IF(m&gt;stoppmengde,0,M48-$E$9)</f>
        <v>16</v>
      </c>
      <c r="N50" s="52">
        <f>IF(m&gt;stoppmengde,0,W50*M50)</f>
        <v>64000</v>
      </c>
      <c r="O50" s="52"/>
      <c r="P50" s="52">
        <f>IF(m&gt;stoppmengde,0,FTK)</f>
        <v>0</v>
      </c>
      <c r="Q50" s="52">
        <f>IF(m&gt;stoppmengde,0,IF(Q10=0,IF(R10=0,VEK*m,P10*R10),Q10))</f>
        <v>0</v>
      </c>
      <c r="R50" s="52">
        <f>P50+Q50</f>
        <v>0</v>
      </c>
      <c r="S50" s="52"/>
      <c r="T50" s="52">
        <f>IF(L50=0,0,N50-stk)</f>
        <v>64000</v>
      </c>
      <c r="U50" s="52">
        <f>IF(L50=0,0,N50-vtk)</f>
        <v>64000</v>
      </c>
      <c r="W50" s="60">
        <f>W48+Intervall</f>
        <v>4000</v>
      </c>
      <c r="X50" s="88">
        <f>IF(m&gt;stoppmengde,0,X48)</f>
        <v>0</v>
      </c>
      <c r="Y50" s="52">
        <f>IF(X50=0,0,X50*_mm2)</f>
        <v>0</v>
      </c>
      <c r="Z50" s="52">
        <f>IF(N50=0,0,N50+Y50)</f>
        <v>64000</v>
      </c>
      <c r="AD50" s="75">
        <f>IF(AU102=0,"",AU102)</f>
        <v>4000</v>
      </c>
      <c r="AE50" s="127">
        <f>IF(AD50="","",AV102)</f>
        <v>64000</v>
      </c>
      <c r="AF50" s="127" t="str">
        <f>IF(EP=0,"",IF(AD50="","",BA102))</f>
        <v/>
      </c>
      <c r="AG50" s="74" t="str">
        <f>IF(AZ102=0,"",AZ102)</f>
        <v/>
      </c>
      <c r="AH50" s="74" t="str">
        <f>IF(EFTK=0,"",IF(BE102=0,"",BE102))</f>
        <v/>
      </c>
      <c r="AI50" s="74" t="str">
        <f>IF(AX102=0,"",AX102)</f>
        <v/>
      </c>
      <c r="AJ50" s="74" t="str">
        <f>IF(EVK=0,"",IF(BC102=0,"",BC102))</f>
        <v/>
      </c>
      <c r="AK50" s="74" t="str">
        <f>IF(AW102=0,"",AW102)</f>
        <v/>
      </c>
      <c r="AL50" s="74" t="str">
        <f>IF((EVK+EFTK)=0,"",IF(BB102=0,"",BB102))</f>
        <v/>
      </c>
      <c r="AM50" s="127">
        <f>IF(mengde3="","",AY102)</f>
        <v>64000</v>
      </c>
      <c r="AN50" s="127" t="str">
        <f>IF((EVK+EFTK+EP)=0,"",IF(mengde3="","",BD102))</f>
        <v/>
      </c>
      <c r="AO50" s="127">
        <f>IF(mengde3="","",BF102)</f>
        <v>64000</v>
      </c>
      <c r="AP50" s="131" t="str">
        <f>IF((EVK+EFTK+EP)=0,"",IF(mengde3="","",BG102))</f>
        <v/>
      </c>
    </row>
    <row r="51" spans="1:42" ht="12" customHeight="1">
      <c r="A51" s="60"/>
      <c r="B51" s="88"/>
      <c r="C51" s="53">
        <f>IF(O51=0,0,O51/($W52-$W50))</f>
        <v>6</v>
      </c>
      <c r="D51" s="88"/>
      <c r="E51" s="88"/>
      <c r="F51" s="53"/>
      <c r="G51" s="53"/>
      <c r="H51" s="53">
        <f>IF(S51=0,0,S51/($W52-$W50))</f>
        <v>0</v>
      </c>
      <c r="I51" s="53"/>
      <c r="J51" s="53"/>
      <c r="L51" s="60"/>
      <c r="M51" s="88"/>
      <c r="N51" s="52"/>
      <c r="O51" s="52">
        <f>IF(stoppmengde&lt;=W50,0,N52-N50)</f>
        <v>6000</v>
      </c>
      <c r="P51" s="52"/>
      <c r="Q51" s="52"/>
      <c r="R51" s="52"/>
      <c r="S51" s="52">
        <f>IF(stoppmengde&lt;=W50,0,R52-R50)</f>
        <v>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5000</v>
      </c>
      <c r="B52" s="88">
        <f>IF(M52=0,0,M52)</f>
        <v>14</v>
      </c>
      <c r="C52" s="53"/>
      <c r="D52" s="88">
        <f>IF(A52=0,0,D50)</f>
        <v>0</v>
      </c>
      <c r="E52" s="88">
        <f>IF(P52=0,0,IF($W52=0,0,P52/$W52))</f>
        <v>0</v>
      </c>
      <c r="F52" s="53">
        <f>IF(Q52=0,0,IF($W52=0,0,Q52/$W52))</f>
        <v>0</v>
      </c>
      <c r="G52" s="53">
        <f>IF(L52=0,F52,E52+F52)</f>
        <v>0</v>
      </c>
      <c r="H52" s="53"/>
      <c r="I52" s="53">
        <f>IF(A52=0,0,T52/mengde2)</f>
        <v>14</v>
      </c>
      <c r="J52" s="53">
        <f>IF(A52=0,0,U52/mengde2)</f>
        <v>14</v>
      </c>
      <c r="L52" s="60">
        <f>IF(W52&lt;=stoppmengde,W52,0)</f>
        <v>5000</v>
      </c>
      <c r="M52" s="88">
        <f>IF(m&gt;stoppmengde,0,M50-$E$9)</f>
        <v>14</v>
      </c>
      <c r="N52" s="52">
        <f>IF(m&gt;stoppmengde,0,W52*M52)</f>
        <v>70000</v>
      </c>
      <c r="O52" s="52"/>
      <c r="P52" s="52">
        <f>IF(m&gt;stoppmengde,0,FTK)</f>
        <v>0</v>
      </c>
      <c r="Q52" s="52">
        <f>IF(m&gt;stoppmengde,0,IF(Q11=0,IF(R11=0,VEK*m,P11*R11),Q11))</f>
        <v>0</v>
      </c>
      <c r="R52" s="52">
        <f>P52+Q52</f>
        <v>0</v>
      </c>
      <c r="S52" s="52"/>
      <c r="T52" s="52">
        <f>IF(L52=0,0,N52-stk)</f>
        <v>70000</v>
      </c>
      <c r="U52" s="52">
        <f>IF(L52=0,0,N52-vtk)</f>
        <v>70000</v>
      </c>
      <c r="W52" s="60">
        <f>W50+Intervall</f>
        <v>5000</v>
      </c>
      <c r="X52" s="88">
        <f>IF(m&gt;stoppmengde,0,X50)</f>
        <v>0</v>
      </c>
      <c r="Y52" s="52">
        <f>IF(X52=0,0,X52*_mm2)</f>
        <v>0</v>
      </c>
      <c r="Z52" s="52">
        <f>IF(N52=0,0,N52+Y52)</f>
        <v>70000</v>
      </c>
      <c r="AD52" s="75">
        <f>IF(AU103=0,"",AU103)</f>
        <v>5000</v>
      </c>
      <c r="AE52" s="127">
        <f>IF(AD52="","",AV103)</f>
        <v>70000</v>
      </c>
      <c r="AF52" s="127" t="str">
        <f>IF(EP=0,"",IF(AD52="","",BA103))</f>
        <v/>
      </c>
      <c r="AG52" s="74" t="str">
        <f>IF(AZ103=0,"",AZ103)</f>
        <v/>
      </c>
      <c r="AH52" s="74" t="str">
        <f>IF(EFTK=0,"",IF(BE103=0,"",BE103))</f>
        <v/>
      </c>
      <c r="AI52" s="74" t="str">
        <f>IF(AX103=0,"",AX103)</f>
        <v/>
      </c>
      <c r="AJ52" s="74" t="str">
        <f>IF(EVK=0,"",IF(BC103=0,"",BC103))</f>
        <v/>
      </c>
      <c r="AK52" s="74" t="str">
        <f>IF(AW103=0,"",AW103)</f>
        <v/>
      </c>
      <c r="AL52" s="74" t="str">
        <f>IF((EVK+EFTK)=0,"",IF(BB103=0,"",BB103))</f>
        <v/>
      </c>
      <c r="AM52" s="127">
        <f>IF(mengde3="","",AY103)</f>
        <v>70000</v>
      </c>
      <c r="AN52" s="127" t="str">
        <f>IF((EVK+EFTK+EP)=0,"",IF(mengde3="","",BD103))</f>
        <v/>
      </c>
      <c r="AO52" s="127">
        <f>IF(mengde3="","",BF103)</f>
        <v>70000</v>
      </c>
      <c r="AP52" s="131" t="str">
        <f>IF((EVK+EFTK+EP)=0,"",IF(mengde3="","",BG103))</f>
        <v/>
      </c>
    </row>
    <row r="53" spans="1:42" ht="12" customHeight="1">
      <c r="A53" s="60"/>
      <c r="B53" s="88"/>
      <c r="C53" s="53">
        <f>IF(O53=0,0,O53/($W54-$W52))</f>
        <v>2</v>
      </c>
      <c r="D53" s="88"/>
      <c r="E53" s="88"/>
      <c r="F53" s="53"/>
      <c r="G53" s="53"/>
      <c r="H53" s="53">
        <f>IF(S53=0,0,S53/($W54-$W52))</f>
        <v>0</v>
      </c>
      <c r="I53" s="53"/>
      <c r="J53" s="53"/>
      <c r="L53" s="60"/>
      <c r="M53" s="88"/>
      <c r="N53" s="52"/>
      <c r="O53" s="52">
        <f>IF(stoppmengde&lt;=W52,0,N54-N52)</f>
        <v>2000</v>
      </c>
      <c r="P53" s="52"/>
      <c r="Q53" s="52"/>
      <c r="R53" s="52"/>
      <c r="S53" s="52">
        <f>IF(stoppmengde&lt;=W52,0,R54-R52)</f>
        <v>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6000</v>
      </c>
      <c r="B54" s="88">
        <f>IF(M54=0,0,M54)</f>
        <v>12</v>
      </c>
      <c r="C54" s="53"/>
      <c r="D54" s="88">
        <f>IF(A54=0,0,D52)</f>
        <v>0</v>
      </c>
      <c r="E54" s="88">
        <f>IF(P54=0,0,IF($W54=0,0,P54/$W54))</f>
        <v>0</v>
      </c>
      <c r="F54" s="53">
        <f>IF(Q54=0,0,IF($W54=0,0,Q54/$W54))</f>
        <v>0</v>
      </c>
      <c r="G54" s="53">
        <f>IF(L54=0,F54,E54+F54)</f>
        <v>0</v>
      </c>
      <c r="H54" s="53"/>
      <c r="I54" s="53">
        <f>IF(A54=0,0,T54/mengde2)</f>
        <v>12</v>
      </c>
      <c r="J54" s="53">
        <f>IF(A54=0,0,U54/mengde2)</f>
        <v>12</v>
      </c>
      <c r="L54" s="60">
        <f>IF(W54&lt;=stoppmengde,W54,0)</f>
        <v>6000</v>
      </c>
      <c r="M54" s="88">
        <f>IF(m&gt;stoppmengde,0,M52-$E$9)</f>
        <v>12</v>
      </c>
      <c r="N54" s="52">
        <f>IF(m&gt;stoppmengde,0,W54*M54)</f>
        <v>72000</v>
      </c>
      <c r="O54" s="52"/>
      <c r="P54" s="52">
        <f>IF(m&gt;stoppmengde,0,FTK)</f>
        <v>0</v>
      </c>
      <c r="Q54" s="52">
        <f>IF(m&gt;stoppmengde,0,IF(Q12=0,IF(R12=0,VEK*m,P12*R12),Q12))</f>
        <v>0</v>
      </c>
      <c r="R54" s="52">
        <f>P54+Q54</f>
        <v>0</v>
      </c>
      <c r="S54" s="52"/>
      <c r="T54" s="52">
        <f>IF(L54=0,0,N54-stk)</f>
        <v>72000</v>
      </c>
      <c r="U54" s="52">
        <f>IF(L54=0,0,N54-vtk)</f>
        <v>72000</v>
      </c>
      <c r="W54" s="60">
        <f>W52+Intervall</f>
        <v>6000</v>
      </c>
      <c r="X54" s="88">
        <f>IF(m&gt;stoppmengde,0,X52)</f>
        <v>0</v>
      </c>
      <c r="Y54" s="52">
        <f>IF(X54=0,0,X54*_mm2)</f>
        <v>0</v>
      </c>
      <c r="Z54" s="52">
        <f>IF(N54=0,0,N54+Y54)</f>
        <v>72000</v>
      </c>
      <c r="AD54" s="75">
        <f>IF(AU104=0,"",AU104)</f>
        <v>6000</v>
      </c>
      <c r="AE54" s="127">
        <f>IF(AD54="","",AV104)</f>
        <v>72000</v>
      </c>
      <c r="AF54" s="127" t="str">
        <f>IF(EP=0,"",IF(AD54="","",BA104))</f>
        <v/>
      </c>
      <c r="AG54" s="74" t="str">
        <f>IF(AZ104=0,"",AZ104)</f>
        <v/>
      </c>
      <c r="AH54" s="74" t="str">
        <f>IF(EFTK=0,"",IF(BE104=0,"",BE104))</f>
        <v/>
      </c>
      <c r="AI54" s="74" t="str">
        <f>IF(AX104=0,"",AX104)</f>
        <v/>
      </c>
      <c r="AJ54" s="74" t="str">
        <f>IF(EVK=0,"",IF(BC104=0,"",BC104))</f>
        <v/>
      </c>
      <c r="AK54" s="74" t="str">
        <f>IF(AW104=0,"",AW104)</f>
        <v/>
      </c>
      <c r="AL54" s="74" t="str">
        <f>IF((EVK+EFTK)=0,"",IF(BB104=0,"",BB104))</f>
        <v/>
      </c>
      <c r="AM54" s="127">
        <f>IF(mengde3="","",AY104)</f>
        <v>72000</v>
      </c>
      <c r="AN54" s="127" t="str">
        <f>IF((EVK+EFTK+EP)=0,"",IF(mengde3="","",BD104))</f>
        <v/>
      </c>
      <c r="AO54" s="127">
        <f>IF(mengde3="","",BF104)</f>
        <v>72000</v>
      </c>
      <c r="AP54" s="131" t="str">
        <f>IF((EVK+EFTK+EP)=0,"",IF(mengde3="","",BG104))</f>
        <v/>
      </c>
    </row>
    <row r="55" spans="1:42" ht="12" customHeight="1">
      <c r="A55" s="60"/>
      <c r="B55" s="88"/>
      <c r="C55" s="53">
        <f>IF(O55=0,0,O55/($W56-$W54))</f>
        <v>-2</v>
      </c>
      <c r="D55" s="88"/>
      <c r="E55" s="88"/>
      <c r="F55" s="53"/>
      <c r="G55" s="53"/>
      <c r="H55" s="53">
        <f>IF(S55=0,0,S55/($W56-$W54))</f>
        <v>0</v>
      </c>
      <c r="I55" s="53"/>
      <c r="J55" s="53"/>
      <c r="L55" s="60"/>
      <c r="M55" s="88"/>
      <c r="N55" s="52"/>
      <c r="O55" s="52">
        <f>IF(stoppmengde&lt;=W54,0,N56-N54)</f>
        <v>-2000</v>
      </c>
      <c r="P55" s="52"/>
      <c r="Q55" s="52"/>
      <c r="R55" s="52"/>
      <c r="S55" s="52">
        <f>IF(stoppmengde&lt;=W54,0,R56-R54)</f>
        <v>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7000</v>
      </c>
      <c r="B56" s="88">
        <f>IF(M56=0,0,M56)</f>
        <v>10</v>
      </c>
      <c r="C56" s="53"/>
      <c r="D56" s="88">
        <f>IF(A56=0,0,D54)</f>
        <v>0</v>
      </c>
      <c r="E56" s="88">
        <f>IF(P56=0,0,IF($W56=0,0,P56/$W56))</f>
        <v>0</v>
      </c>
      <c r="F56" s="53">
        <f>IF(Q56=0,0,IF($W56=0,0,Q56/$W56))</f>
        <v>0</v>
      </c>
      <c r="G56" s="53">
        <f>IF(L56=0,F56,E56+F56)</f>
        <v>0</v>
      </c>
      <c r="H56" s="53"/>
      <c r="I56" s="53">
        <f>IF(A56=0,0,T56/mengde2)</f>
        <v>10</v>
      </c>
      <c r="J56" s="53">
        <f>IF(A56=0,0,U56/mengde2)</f>
        <v>10</v>
      </c>
      <c r="L56" s="60">
        <f>IF(W56&lt;=stoppmengde,W56,0)</f>
        <v>7000</v>
      </c>
      <c r="M56" s="88">
        <f>IF(m&gt;stoppmengde,0,M54-$E$9)</f>
        <v>10</v>
      </c>
      <c r="N56" s="52">
        <f>IF(m&gt;stoppmengde,0,W56*M56)</f>
        <v>70000</v>
      </c>
      <c r="O56" s="52"/>
      <c r="P56" s="52">
        <f>IF(m&gt;stoppmengde,0,FTK)</f>
        <v>0</v>
      </c>
      <c r="Q56" s="52">
        <f>IF(m&gt;stoppmengde,0,IF(Q13=0,IF(R13=0,VEK*m,P13*R13),Q13))</f>
        <v>0</v>
      </c>
      <c r="R56" s="52">
        <f>P56+Q56</f>
        <v>0</v>
      </c>
      <c r="S56" s="52"/>
      <c r="T56" s="52">
        <f>IF(L56=0,0,N56-stk)</f>
        <v>70000</v>
      </c>
      <c r="U56" s="52">
        <f>IF(L56=0,0,N56-vtk)</f>
        <v>70000</v>
      </c>
      <c r="W56" s="60">
        <f>W54+Intervall</f>
        <v>7000</v>
      </c>
      <c r="X56" s="88">
        <f>IF(m&gt;stoppmengde,0,X54)</f>
        <v>0</v>
      </c>
      <c r="Y56" s="52">
        <f>IF(X56=0,0,X56*_mm2)</f>
        <v>0</v>
      </c>
      <c r="Z56" s="52">
        <f>IF(N56=0,0,N56+Y56)</f>
        <v>70000</v>
      </c>
      <c r="AD56" s="75">
        <f>IF(AU105=0,"",AU105)</f>
        <v>7000</v>
      </c>
      <c r="AE56" s="127">
        <f>IF(AD56="","",AV105)</f>
        <v>70000</v>
      </c>
      <c r="AF56" s="127" t="str">
        <f>IF(EP=0,"",IF(AD56="","",BA105))</f>
        <v/>
      </c>
      <c r="AG56" s="74" t="str">
        <f>IF(AZ105=0,"",AZ105)</f>
        <v/>
      </c>
      <c r="AH56" s="74" t="str">
        <f>IF(EFTK=0,"",IF(BE105=0,"",BE105))</f>
        <v/>
      </c>
      <c r="AI56" s="74" t="str">
        <f>IF(AX105=0,"",AX105)</f>
        <v/>
      </c>
      <c r="AJ56" s="74" t="str">
        <f>IF(EVK=0,"",IF(BC105=0,"",BC105))</f>
        <v/>
      </c>
      <c r="AK56" s="74" t="str">
        <f>IF(AW105=0,"",AW105)</f>
        <v/>
      </c>
      <c r="AL56" s="74" t="str">
        <f>IF((EVK+EFTK)=0,"",IF(BB105=0,"",BB105))</f>
        <v/>
      </c>
      <c r="AM56" s="127">
        <f>IF(mengde3="","",AY105)</f>
        <v>70000</v>
      </c>
      <c r="AN56" s="127" t="str">
        <f>IF((EVK+EFTK+EP)=0,"",IF(mengde3="","",BD105))</f>
        <v/>
      </c>
      <c r="AO56" s="127">
        <f>IF(mengde3="","",BF105)</f>
        <v>70000</v>
      </c>
      <c r="AP56" s="131" t="str">
        <f>IF((EVK+EFTK+EP)=0,"",IF(mengde3="","",BG105))</f>
        <v/>
      </c>
    </row>
    <row r="57" spans="1:42" ht="12" customHeight="1">
      <c r="A57" s="60"/>
      <c r="B57" s="88"/>
      <c r="C57" s="53">
        <f>IF(O57=0,0,O57/($W58-$W56))</f>
        <v>0</v>
      </c>
      <c r="D57" s="88"/>
      <c r="E57" s="88"/>
      <c r="F57" s="53"/>
      <c r="G57" s="53"/>
      <c r="H57" s="53">
        <f>IF(S57=0,0,S57/($W58-$W56))</f>
        <v>0</v>
      </c>
      <c r="I57" s="53"/>
      <c r="J57" s="53"/>
      <c r="L57" s="60"/>
      <c r="M57" s="88"/>
      <c r="N57" s="52"/>
      <c r="O57" s="52">
        <f>IF(stoppmengde&lt;=W56,0,N58-N56)</f>
        <v>0</v>
      </c>
      <c r="P57" s="52"/>
      <c r="Q57" s="52"/>
      <c r="R57" s="52"/>
      <c r="S57" s="52">
        <f>IF(stoppmengde&lt;=W56,0,R58-R56)</f>
        <v>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0</v>
      </c>
      <c r="B58" s="88">
        <f>IF(M58=0,0,M58)</f>
        <v>0</v>
      </c>
      <c r="C58" s="53"/>
      <c r="D58" s="88">
        <f>IF(A58=0,0,D56)</f>
        <v>0</v>
      </c>
      <c r="E58" s="88">
        <f>IF(P58=0,0,IF($W58=0,0,P58/$W58))</f>
        <v>0</v>
      </c>
      <c r="F58" s="53">
        <f>IF(Q58=0,0,IF($W58=0,0,Q58/$W58))</f>
        <v>0</v>
      </c>
      <c r="G58" s="53">
        <f>IF(L58=0,F58,E58+F58)</f>
        <v>0</v>
      </c>
      <c r="H58" s="53"/>
      <c r="I58" s="53">
        <f>IF(A58=0,0,T58/mengde2)</f>
        <v>0</v>
      </c>
      <c r="J58" s="53">
        <f>IF(A58=0,0,U58/mengde2)</f>
        <v>0</v>
      </c>
      <c r="L58" s="60">
        <f>IF(W58&lt;=stoppmengde,W58,0)</f>
        <v>0</v>
      </c>
      <c r="M58" s="88">
        <f>IF(m&gt;stoppmengde,0,M56-$E$9)</f>
        <v>0</v>
      </c>
      <c r="N58" s="52">
        <f>IF(m&gt;stoppmengde,0,W58*M58)</f>
        <v>0</v>
      </c>
      <c r="O58" s="52"/>
      <c r="P58" s="52">
        <f>IF(m&gt;stoppmengde,0,FTK)</f>
        <v>0</v>
      </c>
      <c r="Q58" s="52">
        <f>IF(m&gt;stoppmengde,0,IF(Q14=0,IF(R14=0,VEK*m,P14*R14),Q14))</f>
        <v>0</v>
      </c>
      <c r="R58" s="52">
        <f>P58+Q58</f>
        <v>0</v>
      </c>
      <c r="S58" s="52"/>
      <c r="T58" s="52">
        <f>IF(L58=0,0,N58-stk)</f>
        <v>0</v>
      </c>
      <c r="U58" s="52">
        <f>IF(L58=0,0,N58-vtk)</f>
        <v>0</v>
      </c>
      <c r="W58" s="60">
        <f>W56+Intervall</f>
        <v>8000</v>
      </c>
      <c r="X58" s="88">
        <f>IF(m&gt;stoppmengde,0,X56)</f>
        <v>0</v>
      </c>
      <c r="Y58" s="52">
        <f>IF(X58=0,0,X58*_mm2)</f>
        <v>0</v>
      </c>
      <c r="Z58" s="52">
        <f>IF(N58=0,0,N58+Y58)</f>
        <v>0</v>
      </c>
      <c r="AD58" s="75" t="str">
        <f>IF(AU106=0,"",AU106)</f>
        <v/>
      </c>
      <c r="AE58" s="127" t="str">
        <f>IF(AD58="","",AV106)</f>
        <v/>
      </c>
      <c r="AF58" s="127" t="str">
        <f>IF(EP=0,"",IF(AD58="","",BA106))</f>
        <v/>
      </c>
      <c r="AG58" s="74" t="str">
        <f>IF(AZ106=0,"",AZ106)</f>
        <v/>
      </c>
      <c r="AH58" s="74" t="str">
        <f>IF(EFTK=0,"",IF(BE106=0,"",BE106))</f>
        <v/>
      </c>
      <c r="AI58" s="74" t="str">
        <f>IF(AX106=0,"",AX106)</f>
        <v/>
      </c>
      <c r="AJ58" s="74" t="str">
        <f>IF(EVK=0,"",IF(BC106=0,"",BC106))</f>
        <v/>
      </c>
      <c r="AK58" s="74" t="str">
        <f>IF(AW106=0,"",AW106)</f>
        <v/>
      </c>
      <c r="AL58" s="74" t="str">
        <f>IF((EVK+EFTK)=0,"",IF(BB106=0,"",BB106))</f>
        <v/>
      </c>
      <c r="AM58" s="127" t="str">
        <f>IF(mengde3="","",AY106)</f>
        <v/>
      </c>
      <c r="AN58" s="127" t="str">
        <f>IF((EVK+EFTK+EP)=0,"",IF(mengde3="","",BD106))</f>
        <v/>
      </c>
      <c r="AO58" s="127" t="str">
        <f>IF(mengde3="","",BF106)</f>
        <v/>
      </c>
      <c r="AP58" s="131" t="str">
        <f>IF((EVK+EFTK+EP)=0,"",IF(mengde3="","",BG106))</f>
        <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9000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10000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5"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0</v>
      </c>
      <c r="AX98" s="62">
        <f>IF(Q42="",0,Q42)</f>
        <v>0</v>
      </c>
      <c r="AY98" s="63">
        <f t="shared" ref="AY98:AY108" si="2">+AV98-AW98</f>
        <v>0</v>
      </c>
      <c r="AZ98" s="63">
        <f>FTK</f>
        <v>0</v>
      </c>
      <c r="BA98" s="62">
        <f>BI98</f>
        <v>0</v>
      </c>
      <c r="BB98" s="64">
        <f t="shared" ref="BB98:BB108" si="3">BE98+BC98</f>
        <v>0</v>
      </c>
      <c r="BC98" s="67">
        <f t="shared" ref="BC98:BC108" si="4">AX98+EVK*AU98</f>
        <v>0</v>
      </c>
      <c r="BD98" s="63">
        <f t="shared" ref="BD98:BD108" si="5">BA98-BB98</f>
        <v>0</v>
      </c>
      <c r="BE98" s="67">
        <f>AZ98+EFTK</f>
        <v>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1000</v>
      </c>
      <c r="AV99" s="62">
        <f t="shared" ref="AV99:AV108" si="12">BH99</f>
        <v>22000</v>
      </c>
      <c r="AW99" s="70">
        <f t="shared" si="1"/>
        <v>0</v>
      </c>
      <c r="AX99" s="62">
        <f>IF(Q44="",0,Q44)</f>
        <v>0</v>
      </c>
      <c r="AY99" s="63">
        <f t="shared" si="2"/>
        <v>22000</v>
      </c>
      <c r="AZ99" s="63">
        <f t="shared" ref="AZ99:AZ108" si="13">IF(AU99=0,0,FTK)</f>
        <v>0</v>
      </c>
      <c r="BA99" s="62">
        <f t="shared" ref="BA99:BA108" si="14">BI99</f>
        <v>22000</v>
      </c>
      <c r="BB99" s="64">
        <f t="shared" si="3"/>
        <v>0</v>
      </c>
      <c r="BC99" s="63">
        <f t="shared" si="4"/>
        <v>0</v>
      </c>
      <c r="BD99" s="63">
        <f t="shared" si="5"/>
        <v>22000</v>
      </c>
      <c r="BE99" s="63">
        <f t="shared" ref="BE99:BE108" si="15">IF(AU99=0,0,AZ99+EFTK)</f>
        <v>0</v>
      </c>
      <c r="BF99" s="72">
        <f t="shared" si="6"/>
        <v>22000</v>
      </c>
      <c r="BG99" s="94">
        <f t="shared" si="7"/>
        <v>22000</v>
      </c>
      <c r="BH99" s="62">
        <f t="shared" si="8"/>
        <v>22000</v>
      </c>
      <c r="BI99" s="62">
        <f t="shared" si="9"/>
        <v>22000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2000</v>
      </c>
      <c r="AV100" s="62">
        <f t="shared" si="12"/>
        <v>40000</v>
      </c>
      <c r="AW100" s="70">
        <f t="shared" si="1"/>
        <v>0</v>
      </c>
      <c r="AX100" s="62">
        <f>IF(Q46="",0,Q46)</f>
        <v>0</v>
      </c>
      <c r="AY100" s="63">
        <f t="shared" si="2"/>
        <v>40000</v>
      </c>
      <c r="AZ100" s="63">
        <f t="shared" si="13"/>
        <v>0</v>
      </c>
      <c r="BA100" s="62">
        <f t="shared" si="14"/>
        <v>40000</v>
      </c>
      <c r="BB100" s="64">
        <f t="shared" si="3"/>
        <v>0</v>
      </c>
      <c r="BC100" s="63">
        <f t="shared" si="4"/>
        <v>0</v>
      </c>
      <c r="BD100" s="63">
        <f t="shared" si="5"/>
        <v>40000</v>
      </c>
      <c r="BE100" s="63">
        <f t="shared" si="15"/>
        <v>0</v>
      </c>
      <c r="BF100" s="72">
        <f t="shared" si="6"/>
        <v>40000</v>
      </c>
      <c r="BG100" s="94">
        <f t="shared" si="7"/>
        <v>40000</v>
      </c>
      <c r="BH100" s="62">
        <f t="shared" si="8"/>
        <v>40000</v>
      </c>
      <c r="BI100" s="62">
        <f t="shared" si="9"/>
        <v>40000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3000</v>
      </c>
      <c r="AV101" s="62">
        <f t="shared" si="12"/>
        <v>54000</v>
      </c>
      <c r="AW101" s="70">
        <f t="shared" si="1"/>
        <v>0</v>
      </c>
      <c r="AX101" s="62">
        <f>IF(Q48="",0,Q48)</f>
        <v>0</v>
      </c>
      <c r="AY101" s="63">
        <f t="shared" si="2"/>
        <v>54000</v>
      </c>
      <c r="AZ101" s="63">
        <f t="shared" si="13"/>
        <v>0</v>
      </c>
      <c r="BA101" s="62">
        <f t="shared" si="14"/>
        <v>54000</v>
      </c>
      <c r="BB101" s="64">
        <f t="shared" si="3"/>
        <v>0</v>
      </c>
      <c r="BC101" s="63">
        <f t="shared" si="4"/>
        <v>0</v>
      </c>
      <c r="BD101" s="63">
        <f t="shared" si="5"/>
        <v>54000</v>
      </c>
      <c r="BE101" s="63">
        <f t="shared" si="15"/>
        <v>0</v>
      </c>
      <c r="BF101" s="72">
        <f t="shared" si="6"/>
        <v>54000</v>
      </c>
      <c r="BG101" s="94">
        <f t="shared" si="7"/>
        <v>54000</v>
      </c>
      <c r="BH101" s="62">
        <f t="shared" si="8"/>
        <v>54000</v>
      </c>
      <c r="BI101" s="62">
        <f t="shared" si="9"/>
        <v>54000</v>
      </c>
      <c r="BJ101" s="62">
        <f t="shared" si="16"/>
        <v>0</v>
      </c>
      <c r="CD101" s="10">
        <f t="shared" si="10"/>
        <v>0</v>
      </c>
      <c r="CE101" s="10">
        <f t="shared" si="11"/>
        <v>0</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4000</v>
      </c>
      <c r="AV102" s="62">
        <f t="shared" si="12"/>
        <v>64000</v>
      </c>
      <c r="AW102" s="70">
        <f t="shared" si="1"/>
        <v>0</v>
      </c>
      <c r="AX102" s="62">
        <f>IF(Q50="",0,Q50)</f>
        <v>0</v>
      </c>
      <c r="AY102" s="63">
        <f t="shared" si="2"/>
        <v>64000</v>
      </c>
      <c r="AZ102" s="63">
        <f t="shared" si="13"/>
        <v>0</v>
      </c>
      <c r="BA102" s="62">
        <f t="shared" si="14"/>
        <v>64000</v>
      </c>
      <c r="BB102" s="64">
        <f t="shared" si="3"/>
        <v>0</v>
      </c>
      <c r="BC102" s="63">
        <f t="shared" si="4"/>
        <v>0</v>
      </c>
      <c r="BD102" s="63">
        <f t="shared" si="5"/>
        <v>64000</v>
      </c>
      <c r="BE102" s="63">
        <f t="shared" si="15"/>
        <v>0</v>
      </c>
      <c r="BF102" s="72">
        <f t="shared" si="6"/>
        <v>64000</v>
      </c>
      <c r="BG102" s="94">
        <f t="shared" si="7"/>
        <v>64000</v>
      </c>
      <c r="BH102" s="62">
        <f t="shared" si="8"/>
        <v>64000</v>
      </c>
      <c r="BI102" s="62">
        <f t="shared" si="9"/>
        <v>64000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5000</v>
      </c>
      <c r="AV103" s="62">
        <f t="shared" si="12"/>
        <v>70000</v>
      </c>
      <c r="AW103" s="70">
        <f t="shared" si="1"/>
        <v>0</v>
      </c>
      <c r="AX103" s="62">
        <f>IF(Q52="",0,Q52)</f>
        <v>0</v>
      </c>
      <c r="AY103" s="63">
        <f t="shared" si="2"/>
        <v>70000</v>
      </c>
      <c r="AZ103" s="63">
        <f t="shared" si="13"/>
        <v>0</v>
      </c>
      <c r="BA103" s="62">
        <f t="shared" si="14"/>
        <v>70000</v>
      </c>
      <c r="BB103" s="64">
        <f t="shared" si="3"/>
        <v>0</v>
      </c>
      <c r="BC103" s="63">
        <f t="shared" si="4"/>
        <v>0</v>
      </c>
      <c r="BD103" s="63">
        <f t="shared" si="5"/>
        <v>70000</v>
      </c>
      <c r="BE103" s="63">
        <f t="shared" si="15"/>
        <v>0</v>
      </c>
      <c r="BF103" s="72">
        <f t="shared" si="6"/>
        <v>70000</v>
      </c>
      <c r="BG103" s="94">
        <f t="shared" si="7"/>
        <v>70000</v>
      </c>
      <c r="BH103" s="62">
        <f t="shared" si="8"/>
        <v>70000</v>
      </c>
      <c r="BI103" s="62">
        <f t="shared" si="9"/>
        <v>70000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6000</v>
      </c>
      <c r="AV104" s="62">
        <f t="shared" si="12"/>
        <v>72000</v>
      </c>
      <c r="AW104" s="70">
        <f t="shared" si="1"/>
        <v>0</v>
      </c>
      <c r="AX104" s="62">
        <f>IF(Q54="",0,Q54)</f>
        <v>0</v>
      </c>
      <c r="AY104" s="63">
        <f t="shared" si="2"/>
        <v>72000</v>
      </c>
      <c r="AZ104" s="63">
        <f t="shared" si="13"/>
        <v>0</v>
      </c>
      <c r="BA104" s="62">
        <f t="shared" si="14"/>
        <v>72000</v>
      </c>
      <c r="BB104" s="64">
        <f t="shared" si="3"/>
        <v>0</v>
      </c>
      <c r="BC104" s="63">
        <f t="shared" si="4"/>
        <v>0</v>
      </c>
      <c r="BD104" s="63">
        <f t="shared" si="5"/>
        <v>72000</v>
      </c>
      <c r="BE104" s="63">
        <f t="shared" si="15"/>
        <v>0</v>
      </c>
      <c r="BF104" s="72">
        <f t="shared" si="6"/>
        <v>72000</v>
      </c>
      <c r="BG104" s="94">
        <f t="shared" si="7"/>
        <v>72000</v>
      </c>
      <c r="BH104" s="62">
        <f t="shared" si="8"/>
        <v>72000</v>
      </c>
      <c r="BI104" s="62">
        <f t="shared" si="9"/>
        <v>72000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7000</v>
      </c>
      <c r="AV105" s="62">
        <f t="shared" si="12"/>
        <v>70000</v>
      </c>
      <c r="AW105" s="70">
        <f t="shared" si="1"/>
        <v>0</v>
      </c>
      <c r="AX105" s="62">
        <f>IF(Q56="",0,Q56)</f>
        <v>0</v>
      </c>
      <c r="AY105" s="63">
        <f t="shared" si="2"/>
        <v>70000</v>
      </c>
      <c r="AZ105" s="63">
        <f t="shared" si="13"/>
        <v>0</v>
      </c>
      <c r="BA105" s="62">
        <f t="shared" si="14"/>
        <v>70000</v>
      </c>
      <c r="BB105" s="64">
        <f t="shared" si="3"/>
        <v>0</v>
      </c>
      <c r="BC105" s="63">
        <f t="shared" si="4"/>
        <v>0</v>
      </c>
      <c r="BD105" s="63">
        <f t="shared" si="5"/>
        <v>70000</v>
      </c>
      <c r="BE105" s="63">
        <f t="shared" si="15"/>
        <v>0</v>
      </c>
      <c r="BF105" s="72">
        <f t="shared" si="6"/>
        <v>70000</v>
      </c>
      <c r="BG105" s="94">
        <f t="shared" si="7"/>
        <v>70000</v>
      </c>
      <c r="BH105" s="62">
        <f t="shared" si="8"/>
        <v>70000</v>
      </c>
      <c r="BI105" s="62">
        <f t="shared" si="9"/>
        <v>70000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0</v>
      </c>
      <c r="AV106" s="62">
        <f t="shared" si="12"/>
        <v>0</v>
      </c>
      <c r="AW106" s="70">
        <f t="shared" si="1"/>
        <v>0</v>
      </c>
      <c r="AX106" s="62">
        <f>IF(Q58="",0,Q58)</f>
        <v>0</v>
      </c>
      <c r="AY106" s="63">
        <f t="shared" si="2"/>
        <v>0</v>
      </c>
      <c r="AZ106" s="63">
        <f t="shared" si="13"/>
        <v>0</v>
      </c>
      <c r="BA106" s="62">
        <f t="shared" si="14"/>
        <v>0</v>
      </c>
      <c r="BB106" s="64">
        <f t="shared" si="3"/>
        <v>0</v>
      </c>
      <c r="BC106" s="63">
        <f t="shared" si="4"/>
        <v>0</v>
      </c>
      <c r="BD106" s="63">
        <f t="shared" si="5"/>
        <v>0</v>
      </c>
      <c r="BE106" s="63">
        <f t="shared" si="15"/>
        <v>0</v>
      </c>
      <c r="BF106" s="72">
        <f t="shared" si="6"/>
        <v>0</v>
      </c>
      <c r="BG106" s="94">
        <f t="shared" si="7"/>
        <v>0</v>
      </c>
      <c r="BH106" s="62">
        <f t="shared" si="8"/>
        <v>0</v>
      </c>
      <c r="BI106" s="62">
        <f t="shared" si="9"/>
        <v>0</v>
      </c>
      <c r="BJ106" s="62">
        <f t="shared" si="16"/>
        <v>0</v>
      </c>
      <c r="CD106" s="10">
        <f t="shared" si="10"/>
        <v>0</v>
      </c>
      <c r="CE106" s="10">
        <f t="shared" si="11"/>
        <v>0</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t="str">
        <f>IF(CE109&gt;2,"?",IF(CE109=0,"",SUM(CD98:CD108)/CE109))</f>
        <v/>
      </c>
      <c r="CE109" s="13">
        <f>SUM(CE98:CE108)</f>
        <v>0</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5"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24</v>
      </c>
      <c r="AW112" s="65"/>
      <c r="AX112" s="86"/>
      <c r="AY112" s="65"/>
      <c r="AZ112" s="86"/>
      <c r="BA112" s="65">
        <f>IF(D42=0,0,D42)</f>
        <v>0</v>
      </c>
      <c r="BB112" s="65">
        <f>AV112+EP</f>
        <v>24</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1000</v>
      </c>
      <c r="AV113" s="65">
        <f>IF(B44="",0,B44)</f>
        <v>22</v>
      </c>
      <c r="AW113" s="65">
        <f>G44</f>
        <v>0</v>
      </c>
      <c r="AX113" s="70">
        <f>F44</f>
        <v>0</v>
      </c>
      <c r="AY113" s="65">
        <f t="shared" ref="AY113:AY121" si="18">IF(AU100=0,0,(AW100-AW98)/($AU100-$AU98))</f>
        <v>0</v>
      </c>
      <c r="AZ113" s="70">
        <f t="shared" ref="AZ113:AZ121" si="19">IF(AU100=0,0,(BH100-BH98)/($AU100-$AU98))</f>
        <v>20</v>
      </c>
      <c r="BA113" s="65">
        <f>IF(D44=0,0,D44)</f>
        <v>0</v>
      </c>
      <c r="BB113" s="65">
        <f>IF(AU113=0,0,AV113+EP)</f>
        <v>22</v>
      </c>
      <c r="BC113" s="65">
        <f t="shared" ref="BC113:BC122" si="20">IF(AU113=0,0,BB99/AU113)</f>
        <v>0</v>
      </c>
      <c r="BD113" s="65">
        <f t="shared" ref="BD113:BD122" si="21">IF(AU113=0,0,AX113+EVK)</f>
        <v>0</v>
      </c>
      <c r="BE113" s="65">
        <f t="shared" ref="BE113:BE121" si="22">IF(AU100=0,0,(BB100-BB98)/($AU100-$AU98))</f>
        <v>0</v>
      </c>
      <c r="BF113" s="70">
        <f t="shared" ref="BF113:BF121" si="23">IF(AU100=0,0,(BI100-BI98)/($AU100-$AU98))</f>
        <v>20</v>
      </c>
      <c r="BG113" s="65">
        <f>I44</f>
        <v>22</v>
      </c>
      <c r="BH113" s="70">
        <f t="shared" ref="BH113:BH122" si="24">IF(AU113=0,0,BD99/AU113)</f>
        <v>22</v>
      </c>
      <c r="BI113" s="65">
        <f>J44</f>
        <v>22</v>
      </c>
      <c r="BJ113" s="65">
        <f t="shared" ref="BJ113:BJ122" si="25">IF(AU113=0,0,BG99/AU113)</f>
        <v>22</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2000</v>
      </c>
      <c r="AV114" s="65">
        <f>IF(B46="",0,B46)</f>
        <v>20</v>
      </c>
      <c r="AW114" s="65">
        <f>G46</f>
        <v>0</v>
      </c>
      <c r="AX114" s="70">
        <f>F46</f>
        <v>0</v>
      </c>
      <c r="AY114" s="65">
        <f t="shared" si="18"/>
        <v>0</v>
      </c>
      <c r="AZ114" s="70">
        <f t="shared" si="19"/>
        <v>16</v>
      </c>
      <c r="BA114" s="65">
        <f>IF(D46=0,0,D46)</f>
        <v>0</v>
      </c>
      <c r="BB114" s="65">
        <f t="shared" ref="BB114:BB122" si="26">IF(AU114=0,0,AV114+EP)</f>
        <v>20</v>
      </c>
      <c r="BC114" s="65">
        <f t="shared" si="20"/>
        <v>0</v>
      </c>
      <c r="BD114" s="65">
        <f t="shared" si="21"/>
        <v>0</v>
      </c>
      <c r="BE114" s="65">
        <f t="shared" si="22"/>
        <v>0</v>
      </c>
      <c r="BF114" s="70">
        <f t="shared" si="23"/>
        <v>16</v>
      </c>
      <c r="BG114" s="65">
        <f>I46</f>
        <v>20</v>
      </c>
      <c r="BH114" s="70">
        <f t="shared" si="24"/>
        <v>20</v>
      </c>
      <c r="BI114" s="65">
        <f>J46</f>
        <v>20</v>
      </c>
      <c r="BJ114" s="65">
        <f t="shared" si="25"/>
        <v>20</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3000</v>
      </c>
      <c r="AV115" s="65">
        <f>IF(B48="",0,B48)</f>
        <v>18</v>
      </c>
      <c r="AW115" s="65">
        <f>G48</f>
        <v>0</v>
      </c>
      <c r="AX115" s="70">
        <f>F48</f>
        <v>0</v>
      </c>
      <c r="AY115" s="65">
        <f t="shared" si="18"/>
        <v>0</v>
      </c>
      <c r="AZ115" s="70">
        <f t="shared" si="19"/>
        <v>12</v>
      </c>
      <c r="BA115" s="65">
        <f>IF(D48=0,0,D48)</f>
        <v>0</v>
      </c>
      <c r="BB115" s="65">
        <f t="shared" si="26"/>
        <v>18</v>
      </c>
      <c r="BC115" s="65">
        <f t="shared" si="20"/>
        <v>0</v>
      </c>
      <c r="BD115" s="65">
        <f t="shared" si="21"/>
        <v>0</v>
      </c>
      <c r="BE115" s="65">
        <f t="shared" si="22"/>
        <v>0</v>
      </c>
      <c r="BF115" s="70">
        <f t="shared" si="23"/>
        <v>12</v>
      </c>
      <c r="BG115" s="65">
        <f>I48</f>
        <v>18</v>
      </c>
      <c r="BH115" s="70">
        <f t="shared" si="24"/>
        <v>18</v>
      </c>
      <c r="BI115" s="65">
        <f>J48</f>
        <v>18</v>
      </c>
      <c r="BJ115" s="65">
        <f t="shared" si="25"/>
        <v>18</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4000</v>
      </c>
      <c r="AV116" s="65">
        <f>IF(B50="",0,B50)</f>
        <v>16</v>
      </c>
      <c r="AW116" s="65">
        <f>G50</f>
        <v>0</v>
      </c>
      <c r="AX116" s="70">
        <f>F50</f>
        <v>0</v>
      </c>
      <c r="AY116" s="65">
        <f t="shared" si="18"/>
        <v>0</v>
      </c>
      <c r="AZ116" s="70">
        <f t="shared" si="19"/>
        <v>8</v>
      </c>
      <c r="BA116" s="65">
        <f>IF(D50=0,0,D50)</f>
        <v>0</v>
      </c>
      <c r="BB116" s="65">
        <f t="shared" si="26"/>
        <v>16</v>
      </c>
      <c r="BC116" s="65">
        <f t="shared" si="20"/>
        <v>0</v>
      </c>
      <c r="BD116" s="65">
        <f t="shared" si="21"/>
        <v>0</v>
      </c>
      <c r="BE116" s="65">
        <f t="shared" si="22"/>
        <v>0</v>
      </c>
      <c r="BF116" s="70">
        <f t="shared" si="23"/>
        <v>8</v>
      </c>
      <c r="BG116" s="65">
        <f>I50</f>
        <v>16</v>
      </c>
      <c r="BH116" s="70">
        <f t="shared" si="24"/>
        <v>16</v>
      </c>
      <c r="BI116" s="65">
        <f>J50</f>
        <v>16</v>
      </c>
      <c r="BJ116" s="65">
        <f t="shared" si="25"/>
        <v>16</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5000</v>
      </c>
      <c r="AV117" s="65">
        <f>IF(B52="",0,B52)</f>
        <v>14</v>
      </c>
      <c r="AW117" s="65">
        <f>G52</f>
        <v>0</v>
      </c>
      <c r="AX117" s="70">
        <f>F52</f>
        <v>0</v>
      </c>
      <c r="AY117" s="65">
        <f t="shared" si="18"/>
        <v>0</v>
      </c>
      <c r="AZ117" s="70">
        <f t="shared" si="19"/>
        <v>4</v>
      </c>
      <c r="BA117" s="65">
        <f>IF(D52=0,0,D52)</f>
        <v>0</v>
      </c>
      <c r="BB117" s="65">
        <f t="shared" si="26"/>
        <v>14</v>
      </c>
      <c r="BC117" s="65">
        <f t="shared" si="20"/>
        <v>0</v>
      </c>
      <c r="BD117" s="65">
        <f t="shared" si="21"/>
        <v>0</v>
      </c>
      <c r="BE117" s="65">
        <f t="shared" si="22"/>
        <v>0</v>
      </c>
      <c r="BF117" s="70">
        <f t="shared" si="23"/>
        <v>4</v>
      </c>
      <c r="BG117" s="65">
        <f>I52</f>
        <v>14</v>
      </c>
      <c r="BH117" s="70">
        <f t="shared" si="24"/>
        <v>14</v>
      </c>
      <c r="BI117" s="65">
        <f>J52</f>
        <v>14</v>
      </c>
      <c r="BJ117" s="65">
        <f t="shared" si="25"/>
        <v>14</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6000</v>
      </c>
      <c r="AV118" s="65">
        <f>IF(B54="",0,B54)</f>
        <v>12</v>
      </c>
      <c r="AW118" s="65">
        <f>G54</f>
        <v>0</v>
      </c>
      <c r="AX118" s="70">
        <f>F54</f>
        <v>0</v>
      </c>
      <c r="AY118" s="65">
        <f t="shared" si="18"/>
        <v>0</v>
      </c>
      <c r="AZ118" s="70">
        <f t="shared" si="19"/>
        <v>0</v>
      </c>
      <c r="BA118" s="65">
        <f>IF(D54=0,0,D54)</f>
        <v>0</v>
      </c>
      <c r="BB118" s="65">
        <f t="shared" si="26"/>
        <v>12</v>
      </c>
      <c r="BC118" s="65">
        <f t="shared" si="20"/>
        <v>0</v>
      </c>
      <c r="BD118" s="65">
        <f t="shared" si="21"/>
        <v>0</v>
      </c>
      <c r="BE118" s="65">
        <f t="shared" si="22"/>
        <v>0</v>
      </c>
      <c r="BF118" s="70">
        <f t="shared" si="23"/>
        <v>0</v>
      </c>
      <c r="BG118" s="65">
        <f>I54</f>
        <v>12</v>
      </c>
      <c r="BH118" s="70">
        <f t="shared" si="24"/>
        <v>12</v>
      </c>
      <c r="BI118" s="65">
        <f>J54</f>
        <v>12</v>
      </c>
      <c r="BJ118" s="65">
        <f t="shared" si="25"/>
        <v>12</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7000</v>
      </c>
      <c r="AV119" s="65">
        <f>IF(B56="",0,B56)</f>
        <v>10</v>
      </c>
      <c r="AW119" s="65">
        <f>G56</f>
        <v>0</v>
      </c>
      <c r="AX119" s="70">
        <f>F56</f>
        <v>0</v>
      </c>
      <c r="AY119" s="65">
        <f t="shared" si="18"/>
        <v>0</v>
      </c>
      <c r="AZ119" s="70">
        <f t="shared" si="19"/>
        <v>0</v>
      </c>
      <c r="BA119" s="65">
        <f>IF(D56=0,0,D56)</f>
        <v>0</v>
      </c>
      <c r="BB119" s="65">
        <f t="shared" si="26"/>
        <v>10</v>
      </c>
      <c r="BC119" s="65">
        <f t="shared" si="20"/>
        <v>0</v>
      </c>
      <c r="BD119" s="65">
        <f t="shared" si="21"/>
        <v>0</v>
      </c>
      <c r="BE119" s="65">
        <f t="shared" si="22"/>
        <v>0</v>
      </c>
      <c r="BF119" s="70">
        <f t="shared" si="23"/>
        <v>0</v>
      </c>
      <c r="BG119" s="65">
        <f>I56</f>
        <v>10</v>
      </c>
      <c r="BH119" s="70">
        <f t="shared" si="24"/>
        <v>10</v>
      </c>
      <c r="BI119" s="65">
        <f>J56</f>
        <v>10</v>
      </c>
      <c r="BJ119" s="65">
        <f t="shared" si="25"/>
        <v>10</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Salgs-</v>
      </c>
      <c r="AQ120" s="78" t="str">
        <f>IF(SUM(AF42:AF62)=0,"Sum","Nye sum")</f>
        <v>Sum</v>
      </c>
      <c r="AR120" s="78" t="str">
        <f>IF(SUM(AF42:AF62)=0,"","Nytt")</f>
        <v/>
      </c>
      <c r="AS120" s="27" t="s">
        <v>74</v>
      </c>
      <c r="AT120" s="2"/>
      <c r="AU120" s="70">
        <f t="shared" si="17"/>
        <v>0</v>
      </c>
      <c r="AV120" s="65">
        <f>IF(B58="",0,B58)</f>
        <v>0</v>
      </c>
      <c r="AW120" s="65">
        <f>G58</f>
        <v>0</v>
      </c>
      <c r="AX120" s="70">
        <f>F58</f>
        <v>0</v>
      </c>
      <c r="AY120" s="65">
        <f t="shared" si="18"/>
        <v>0</v>
      </c>
      <c r="AZ120" s="70">
        <f t="shared" si="19"/>
        <v>0</v>
      </c>
      <c r="BA120" s="65">
        <f>IF(D58=0,0,D58)</f>
        <v>0</v>
      </c>
      <c r="BB120" s="65">
        <f t="shared" si="26"/>
        <v>0</v>
      </c>
      <c r="BC120" s="65">
        <f t="shared" si="20"/>
        <v>0</v>
      </c>
      <c r="BD120" s="65">
        <f t="shared" si="21"/>
        <v>0</v>
      </c>
      <c r="BE120" s="65">
        <f t="shared" si="22"/>
        <v>0</v>
      </c>
      <c r="BF120" s="70">
        <f t="shared" si="23"/>
        <v>0</v>
      </c>
      <c r="BG120" s="65">
        <f>I58</f>
        <v>0</v>
      </c>
      <c r="BH120" s="70">
        <f t="shared" si="24"/>
        <v>0</v>
      </c>
      <c r="BI120" s="65">
        <f>J58</f>
        <v>0</v>
      </c>
      <c r="BJ120" s="65">
        <f t="shared" si="25"/>
        <v>0</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DB</v>
      </c>
      <c r="AS121" s="30" t="str">
        <f>IF((SUM(AG42:AG62)+SUM(AH42:AH62))=0,"DB","resultat")</f>
        <v>DB</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f>IF(Startmengde="","",AU112)</f>
        <v>0</v>
      </c>
      <c r="AE122" s="95">
        <f>IF(stoppmengde="","",AV112)</f>
        <v>24</v>
      </c>
      <c r="AF122" s="95" t="str">
        <f>IF(EP=0,"",IF(stoppmengde="","",BB112))</f>
        <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f>IF(AD42="","",IF(AF42="",AE42,AF42))</f>
        <v>0</v>
      </c>
      <c r="AQ122" s="121">
        <f>IF(AD42="","",IF(AL42="",AK42,AL42))</f>
        <v>0</v>
      </c>
      <c r="AR122" s="121">
        <f>IF(AD42="","",IF(AN42="",AM42,AN42))</f>
        <v>0</v>
      </c>
      <c r="AS122" s="122" t="str">
        <f>IF(AD42="","",IF(AN42="","",AN42-AM42))</f>
        <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f>IF(AD124="","",(AE44-AE42)/(AD124-AD122))</f>
        <v>22</v>
      </c>
      <c r="AH123" s="81" t="str">
        <f>IF(AD124="","",IF(EP=0,"",(AF44-AF42)/(AD124-AD122)))</f>
        <v/>
      </c>
      <c r="AI123" s="97"/>
      <c r="AJ123" s="97"/>
      <c r="AK123" s="97"/>
      <c r="AL123" s="97"/>
      <c r="AM123" s="97"/>
      <c r="AN123" s="81" t="e">
        <f>IF(AD124="","",(AK44-AK42)/(AD124-AD122))</f>
        <v>#VALUE!</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f>IF(AU113=0,"",AU113)</f>
        <v>1000</v>
      </c>
      <c r="AE124" s="97">
        <f>IF(AD124="","",AV113)</f>
        <v>22</v>
      </c>
      <c r="AF124" s="97" t="str">
        <f>IF(EP=0,"",IF(AD124="","",BB113))</f>
        <v/>
      </c>
      <c r="AG124" s="81"/>
      <c r="AH124" s="81"/>
      <c r="AI124" s="97" t="str">
        <f>IF(BA113=0,"",BA113)</f>
        <v/>
      </c>
      <c r="AJ124" s="97" t="str">
        <f>IF(AX113=0,"",AX113)</f>
        <v/>
      </c>
      <c r="AK124" s="97" t="str">
        <f>IF(EVK=0,"",IF(BD113=0,"",BD113))</f>
        <v/>
      </c>
      <c r="AL124" s="97" t="str">
        <f>IF(AW113=0,"",AW113)</f>
        <v/>
      </c>
      <c r="AM124" s="97" t="str">
        <f>IF((EVK+EFTK)=0,"",IF(BC113=0,"",BC113))</f>
        <v/>
      </c>
      <c r="AN124" s="81"/>
      <c r="AO124" s="81"/>
      <c r="AP124" s="121">
        <f t="shared" si="27"/>
        <v>22000</v>
      </c>
      <c r="AQ124" s="121" t="str">
        <f t="shared" si="28"/>
        <v/>
      </c>
      <c r="AR124" s="121">
        <f t="shared" si="29"/>
        <v>22000</v>
      </c>
      <c r="AS124" s="122" t="str">
        <f t="shared" si="30"/>
        <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f>IF(AD126="","",(AE46-AE44)/(AD126-AD124))</f>
        <v>18</v>
      </c>
      <c r="AH125" s="81" t="str">
        <f>IF(AD126="","",IF(EP=0,"",(AF46-AF44)/(AD126-AD124)))</f>
        <v/>
      </c>
      <c r="AI125" s="97"/>
      <c r="AJ125" s="97"/>
      <c r="AK125" s="97"/>
      <c r="AL125" s="97"/>
      <c r="AM125" s="97"/>
      <c r="AN125" s="81" t="e">
        <f>IF(AD126="","",(AK46-AK44)/(AD126-AD124))</f>
        <v>#VALUE!</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f>IF(AU114=0,"",AU114)</f>
        <v>2000</v>
      </c>
      <c r="AE126" s="97">
        <f>IF(AD126="","",AV114)</f>
        <v>20</v>
      </c>
      <c r="AF126" s="97" t="str">
        <f>IF(EP=0,"",IF(AD126="","",BB114))</f>
        <v/>
      </c>
      <c r="AG126" s="81"/>
      <c r="AH126" s="81"/>
      <c r="AI126" s="97" t="str">
        <f>IF(BA114=0,"",BA114)</f>
        <v/>
      </c>
      <c r="AJ126" s="97" t="str">
        <f>IF(AX114=0,"",AX114)</f>
        <v/>
      </c>
      <c r="AK126" s="97" t="str">
        <f>IF(EVK=0,"",IF(BD114=0,"",BD114))</f>
        <v/>
      </c>
      <c r="AL126" s="97" t="str">
        <f>IF(AW114=0,"",AW114)</f>
        <v/>
      </c>
      <c r="AM126" s="97" t="str">
        <f>IF((EVK+EFTK)=0,"",IF(BC114=0,"",BC114))</f>
        <v/>
      </c>
      <c r="AN126" s="81"/>
      <c r="AO126" s="81"/>
      <c r="AP126" s="121">
        <f t="shared" si="27"/>
        <v>40000</v>
      </c>
      <c r="AQ126" s="121" t="str">
        <f t="shared" si="28"/>
        <v/>
      </c>
      <c r="AR126" s="121">
        <f t="shared" si="29"/>
        <v>40000</v>
      </c>
      <c r="AS126" s="122" t="str">
        <f t="shared" si="30"/>
        <v/>
      </c>
      <c r="AT126" s="15"/>
      <c r="AU126" s="115">
        <f>IF($AD122="","",BG112)</f>
        <v>0</v>
      </c>
      <c r="AV126" s="95" t="str">
        <f>IF((EVK+EFTK+EP)=0,"",IF(BH112=0,"",BH112))</f>
        <v/>
      </c>
      <c r="AW126" s="95">
        <f>IF($AD122="","",BI112)</f>
        <v>0</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f>IF(AD128="","",(AE48-AE46)/(AD128-AD126))</f>
        <v>14</v>
      </c>
      <c r="AH127" s="81" t="str">
        <f>IF(AD128="","",IF(EP=0,"",(AF48-AF46)/(AD128-AD126)))</f>
        <v/>
      </c>
      <c r="AI127" s="97"/>
      <c r="AJ127" s="97"/>
      <c r="AK127" s="97"/>
      <c r="AL127" s="97"/>
      <c r="AM127" s="97"/>
      <c r="AN127" s="81" t="e">
        <f>IF(AD128="","",(AK48-AK46)/(AD128-AD126))</f>
        <v>#VALUE!</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f>IF(AU115=0,"",AU115)</f>
        <v>3000</v>
      </c>
      <c r="AE128" s="97">
        <f>IF(AD128="","",AV115)</f>
        <v>18</v>
      </c>
      <c r="AF128" s="97" t="str">
        <f>IF(EP=0,"",IF(AD128="","",BB115))</f>
        <v/>
      </c>
      <c r="AG128" s="81"/>
      <c r="AH128" s="81"/>
      <c r="AI128" s="97" t="str">
        <f>IF(BA115=0,"",BA115)</f>
        <v/>
      </c>
      <c r="AJ128" s="97" t="str">
        <f>IF(AX115=0,"",AX115)</f>
        <v/>
      </c>
      <c r="AK128" s="97" t="str">
        <f>IF(EVK=0,"",IF(BD115=0,"",BD115))</f>
        <v/>
      </c>
      <c r="AL128" s="97" t="str">
        <f>IF(AW115=0,"",AW115)</f>
        <v/>
      </c>
      <c r="AM128" s="97" t="str">
        <f>IF((EVK+EFTK)=0,"",IF(BC115=0,"",BC115))</f>
        <v/>
      </c>
      <c r="AN128" s="81"/>
      <c r="AO128" s="81"/>
      <c r="AP128" s="121">
        <f t="shared" si="27"/>
        <v>54000</v>
      </c>
      <c r="AQ128" s="121" t="str">
        <f t="shared" si="28"/>
        <v/>
      </c>
      <c r="AR128" s="121">
        <f t="shared" si="29"/>
        <v>54000</v>
      </c>
      <c r="AS128" s="122" t="str">
        <f t="shared" si="30"/>
        <v/>
      </c>
      <c r="AT128" s="15"/>
      <c r="AU128" s="116">
        <f>IF($AD124="","",BG113)</f>
        <v>22</v>
      </c>
      <c r="AV128" s="97" t="str">
        <f>IF((EVK+EFTK+EP)=0,"",IF(BH113=0,"",BH113))</f>
        <v/>
      </c>
      <c r="AW128" s="97">
        <f>IF($AD124="","",BI113)</f>
        <v>22</v>
      </c>
      <c r="AX128" s="98" t="str">
        <f>IF((EVK+EFTK+EP)=0,"",IF(BJ113=0,"",BJ113))</f>
        <v/>
      </c>
    </row>
    <row r="129" spans="30:50">
      <c r="AD129" s="83"/>
      <c r="AE129" s="97"/>
      <c r="AF129" s="97"/>
      <c r="AG129" s="81">
        <f>IF(AD130="","",(AE50-AE48)/(AD130-AD128))</f>
        <v>10</v>
      </c>
      <c r="AH129" s="81" t="str">
        <f>IF(AD130="","",IF(EP=0,"",(AF50-AF48)/(AD130-AD128)))</f>
        <v/>
      </c>
      <c r="AI129" s="97"/>
      <c r="AJ129" s="97"/>
      <c r="AK129" s="97"/>
      <c r="AL129" s="97"/>
      <c r="AM129" s="97"/>
      <c r="AN129" s="81" t="e">
        <f>IF(AD130="","",(AK50-AK48)/(AD130-AD128))</f>
        <v>#VALUE!</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f>IF(AU116=0,"",AU116)</f>
        <v>4000</v>
      </c>
      <c r="AE130" s="97">
        <f>IF(AD130="","",AV116)</f>
        <v>16</v>
      </c>
      <c r="AF130" s="97" t="str">
        <f>IF(EP=0,"",IF(AD130="","",BB116))</f>
        <v/>
      </c>
      <c r="AG130" s="81"/>
      <c r="AH130" s="81"/>
      <c r="AI130" s="97" t="str">
        <f>IF(BA116=0,"",BA116)</f>
        <v/>
      </c>
      <c r="AJ130" s="97" t="str">
        <f>IF(AX116=0,"",AX116)</f>
        <v/>
      </c>
      <c r="AK130" s="97" t="str">
        <f>IF(EVK=0,"",IF(BD116=0,"",BD116))</f>
        <v/>
      </c>
      <c r="AL130" s="97" t="str">
        <f>IF(AW116=0,"",AW116)</f>
        <v/>
      </c>
      <c r="AM130" s="97" t="str">
        <f>IF((EVK+EFTK)=0,"",IF(BC116=0,"",BC116))</f>
        <v/>
      </c>
      <c r="AN130" s="81"/>
      <c r="AO130" s="81"/>
      <c r="AP130" s="121">
        <f t="shared" si="27"/>
        <v>64000</v>
      </c>
      <c r="AQ130" s="121" t="str">
        <f t="shared" si="28"/>
        <v/>
      </c>
      <c r="AR130" s="121">
        <f t="shared" si="29"/>
        <v>64000</v>
      </c>
      <c r="AS130" s="122" t="str">
        <f t="shared" si="30"/>
        <v/>
      </c>
      <c r="AT130" s="2"/>
      <c r="AU130" s="116">
        <f>IF($AD126="","",BG114)</f>
        <v>20</v>
      </c>
      <c r="AV130" s="97" t="str">
        <f>IF((EVK+EFTK+EP)=0,"",IF(BH114=0,"",BH114))</f>
        <v/>
      </c>
      <c r="AW130" s="97">
        <f>IF($AD126="","",BI114)</f>
        <v>20</v>
      </c>
      <c r="AX130" s="98" t="str">
        <f>IF((EVK+EFTK+EP)=0,"",IF(BJ114=0,"",BJ114))</f>
        <v/>
      </c>
    </row>
    <row r="131" spans="30:50">
      <c r="AD131" s="83"/>
      <c r="AE131" s="97"/>
      <c r="AF131" s="97"/>
      <c r="AG131" s="81">
        <f>IF(AD132="","",(AE52-AE50)/(AD132-AD130))</f>
        <v>6</v>
      </c>
      <c r="AH131" s="81" t="str">
        <f>IF(AD132="","",IF(EP=0,"",(AF52-AF50)/(AD132-AD130)))</f>
        <v/>
      </c>
      <c r="AI131" s="97"/>
      <c r="AJ131" s="97"/>
      <c r="AK131" s="97"/>
      <c r="AL131" s="97"/>
      <c r="AM131" s="97"/>
      <c r="AN131" s="81" t="e">
        <f>IF(AD132="","",(AK52-AK50)/(AD132-AD130))</f>
        <v>#VALUE!</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f>IF(AU117=0,"",AU117)</f>
        <v>5000</v>
      </c>
      <c r="AE132" s="97">
        <f>IF(AD132="","",AV117)</f>
        <v>14</v>
      </c>
      <c r="AF132" s="97" t="str">
        <f>IF(EP=0,"",IF(AD132="","",BB117))</f>
        <v/>
      </c>
      <c r="AG132" s="81"/>
      <c r="AH132" s="81"/>
      <c r="AI132" s="97" t="str">
        <f>IF(BA117=0,"",BA117)</f>
        <v/>
      </c>
      <c r="AJ132" s="97" t="str">
        <f>IF(AX117=0,"",AX117)</f>
        <v/>
      </c>
      <c r="AK132" s="97" t="str">
        <f>IF(EVK=0,"",IF(BD117=0,"",BD117))</f>
        <v/>
      </c>
      <c r="AL132" s="97" t="str">
        <f>IF(AW117=0,"",AW117)</f>
        <v/>
      </c>
      <c r="AM132" s="97" t="str">
        <f>IF((EVK+EFTK)=0,"",IF(BC117=0,"",BC117))</f>
        <v/>
      </c>
      <c r="AN132" s="81"/>
      <c r="AO132" s="81"/>
      <c r="AP132" s="121">
        <f t="shared" si="27"/>
        <v>70000</v>
      </c>
      <c r="AQ132" s="121" t="str">
        <f t="shared" si="28"/>
        <v/>
      </c>
      <c r="AR132" s="121">
        <f t="shared" si="29"/>
        <v>70000</v>
      </c>
      <c r="AS132" s="122" t="str">
        <f t="shared" si="30"/>
        <v/>
      </c>
      <c r="AU132" s="116">
        <f>IF($AD128="","",BG115)</f>
        <v>18</v>
      </c>
      <c r="AV132" s="97" t="str">
        <f>IF((EVK+EFTK+EP)=0,"",IF(BH115=0,"",BH115))</f>
        <v/>
      </c>
      <c r="AW132" s="97">
        <f>IF($AD128="","",BI115)</f>
        <v>18</v>
      </c>
      <c r="AX132" s="98" t="str">
        <f>IF((EVK+EFTK+EP)=0,"",IF(BJ115=0,"",BJ115))</f>
        <v/>
      </c>
    </row>
    <row r="133" spans="30:50">
      <c r="AD133" s="83"/>
      <c r="AE133" s="97"/>
      <c r="AF133" s="97"/>
      <c r="AG133" s="81">
        <f>IF(AD134="","",(AE54-AE52)/(AD134-AD132))</f>
        <v>2</v>
      </c>
      <c r="AH133" s="81" t="str">
        <f>IF(AD134="","",IF(EP=0,"",(AF54-AF52)/(AD134-AD132)))</f>
        <v/>
      </c>
      <c r="AI133" s="97"/>
      <c r="AJ133" s="97"/>
      <c r="AK133" s="97"/>
      <c r="AL133" s="97"/>
      <c r="AM133" s="97"/>
      <c r="AN133" s="81" t="e">
        <f>IF(AD134="","",(AK54-AK52)/(AD134-AD132))</f>
        <v>#VALUE!</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f>IF(AU118=0,"",AU118)</f>
        <v>6000</v>
      </c>
      <c r="AE134" s="97">
        <f>IF(AD134="","",AV118)</f>
        <v>12</v>
      </c>
      <c r="AF134" s="97" t="str">
        <f>IF(EP=0,"",IF(AD134="","",BB118))</f>
        <v/>
      </c>
      <c r="AG134" s="81"/>
      <c r="AH134" s="81"/>
      <c r="AI134" s="97" t="str">
        <f>IF(BA118=0,"",BA118)</f>
        <v/>
      </c>
      <c r="AJ134" s="97" t="str">
        <f>IF(AX118=0,"",AX118)</f>
        <v/>
      </c>
      <c r="AK134" s="97" t="str">
        <f>IF(EVK=0,"",IF(BD118=0,"",BD118))</f>
        <v/>
      </c>
      <c r="AL134" s="97" t="str">
        <f>IF(AW118=0,"",AW118)</f>
        <v/>
      </c>
      <c r="AM134" s="97" t="str">
        <f>IF((EVK+EFTK)=0,"",IF(BC118=0,"",BC118))</f>
        <v/>
      </c>
      <c r="AN134" s="81"/>
      <c r="AO134" s="81"/>
      <c r="AP134" s="121">
        <f t="shared" si="27"/>
        <v>72000</v>
      </c>
      <c r="AQ134" s="121" t="str">
        <f t="shared" si="28"/>
        <v/>
      </c>
      <c r="AR134" s="121">
        <f t="shared" si="29"/>
        <v>72000</v>
      </c>
      <c r="AS134" s="122" t="str">
        <f t="shared" si="30"/>
        <v/>
      </c>
      <c r="AU134" s="116">
        <f>IF($AD130="","",BG116)</f>
        <v>16</v>
      </c>
      <c r="AV134" s="97" t="str">
        <f>IF((EVK+EFTK+EP)=0,"",IF(BH116=0,"",BH116))</f>
        <v/>
      </c>
      <c r="AW134" s="97">
        <f>IF($AD130="","",BI116)</f>
        <v>16</v>
      </c>
      <c r="AX134" s="98" t="str">
        <f>IF((EVK+EFTK+EP)=0,"",IF(BJ116=0,"",BJ116))</f>
        <v/>
      </c>
    </row>
    <row r="135" spans="30:50">
      <c r="AD135" s="83"/>
      <c r="AE135" s="97"/>
      <c r="AF135" s="97"/>
      <c r="AG135" s="81">
        <f>IF(AD136="","",(AE56-AE54)/(AD136-AD134))</f>
        <v>-2</v>
      </c>
      <c r="AH135" s="81" t="str">
        <f>IF(AD136="","",IF(EP=0,"",(AF56-AF54)/(AD136-AD134)))</f>
        <v/>
      </c>
      <c r="AI135" s="97"/>
      <c r="AJ135" s="97"/>
      <c r="AK135" s="97"/>
      <c r="AL135" s="97"/>
      <c r="AM135" s="97"/>
      <c r="AN135" s="81" t="e">
        <f>IF(AD136="","",(AK56-AK54)/(AD136-AD134))</f>
        <v>#VALUE!</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f>IF(AU119=0,"",AU119)</f>
        <v>7000</v>
      </c>
      <c r="AE136" s="81">
        <f>IF(AD136="","",AV119)</f>
        <v>10</v>
      </c>
      <c r="AF136" s="97" t="str">
        <f>IF(EP=0,"",IF(AD136="","",BB119))</f>
        <v/>
      </c>
      <c r="AG136" s="81"/>
      <c r="AH136" s="81"/>
      <c r="AI136" s="97" t="str">
        <f>IF(BA119=0,"",BA119)</f>
        <v/>
      </c>
      <c r="AJ136" s="97" t="str">
        <f>IF(AX119=0,"",AX119)</f>
        <v/>
      </c>
      <c r="AK136" s="97" t="str">
        <f>IF(EVK=0,"",IF(BD119=0,"",BD119))</f>
        <v/>
      </c>
      <c r="AL136" s="97" t="str">
        <f>IF(AW119=0,"",AW119)</f>
        <v/>
      </c>
      <c r="AM136" s="97" t="str">
        <f>IF((EVK+EFTK)=0,"",IF(BC119=0,"",BC119))</f>
        <v/>
      </c>
      <c r="AN136" s="81"/>
      <c r="AO136" s="81"/>
      <c r="AP136" s="121">
        <f t="shared" si="27"/>
        <v>70000</v>
      </c>
      <c r="AQ136" s="121" t="str">
        <f t="shared" si="28"/>
        <v/>
      </c>
      <c r="AR136" s="121">
        <f t="shared" si="29"/>
        <v>70000</v>
      </c>
      <c r="AS136" s="122" t="str">
        <f t="shared" si="30"/>
        <v/>
      </c>
      <c r="AU136" s="116">
        <f>IF($AD132="","",BG117)</f>
        <v>14</v>
      </c>
      <c r="AV136" s="97" t="str">
        <f>IF((EVK+EFTK+EP)=0,"",IF(BH117=0,"",BH117))</f>
        <v/>
      </c>
      <c r="AW136" s="97">
        <f>IF($AD132="","",BI117)</f>
        <v>14</v>
      </c>
      <c r="AX136" s="98" t="str">
        <f>IF((EVK+EFTK+EP)=0,"",IF(BJ117=0,"",BJ117))</f>
        <v/>
      </c>
    </row>
    <row r="137" spans="30:50">
      <c r="AD137" s="83"/>
      <c r="AE137" s="97"/>
      <c r="AF137" s="97"/>
      <c r="AG137" s="81" t="str">
        <f>IF(AD138="","",(AE58-AE56)/(AD138-AD136))</f>
        <v/>
      </c>
      <c r="AH137" s="81" t="str">
        <f>IF(AD138="","",IF(EP=0,"",(AF58-AF56)/(AD138-AD136)))</f>
        <v/>
      </c>
      <c r="AI137" s="97"/>
      <c r="AJ137" s="97"/>
      <c r="AK137" s="97"/>
      <c r="AL137" s="97"/>
      <c r="AM137" s="97"/>
      <c r="AN137" s="81" t="str">
        <f>IF(AD138="","",(AK58-AK56)/(AD138-AD136))</f>
        <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t="str">
        <f>IF(AU120=0,"",AU120)</f>
        <v/>
      </c>
      <c r="AE138" s="97" t="str">
        <f>IF(AD138="","",AV120)</f>
        <v/>
      </c>
      <c r="AF138" s="97" t="str">
        <f>IF(EP=0,"",IF(AD138="","",BB120))</f>
        <v/>
      </c>
      <c r="AG138" s="81"/>
      <c r="AH138" s="81"/>
      <c r="AI138" s="97" t="str">
        <f>IF(BA120=0,"",BA120)</f>
        <v/>
      </c>
      <c r="AJ138" s="97" t="str">
        <f>IF(AX120=0,"",AX120)</f>
        <v/>
      </c>
      <c r="AK138" s="97" t="str">
        <f>IF(EVK=0,"",IF(BD120=0,"",BD120))</f>
        <v/>
      </c>
      <c r="AL138" s="97" t="str">
        <f>IF(AW120=0,"",AW120)</f>
        <v/>
      </c>
      <c r="AM138" s="97" t="str">
        <f>IF((EVK+EFTK)=0,"",IF(BC120=0,"",BC120))</f>
        <v/>
      </c>
      <c r="AN138" s="81"/>
      <c r="AO138" s="81"/>
      <c r="AP138" s="121" t="str">
        <f t="shared" si="27"/>
        <v/>
      </c>
      <c r="AQ138" s="121" t="str">
        <f t="shared" si="28"/>
        <v/>
      </c>
      <c r="AR138" s="121" t="str">
        <f t="shared" si="29"/>
        <v/>
      </c>
      <c r="AS138" s="122" t="str">
        <f t="shared" si="30"/>
        <v/>
      </c>
      <c r="AU138" s="116">
        <f>IF($AD134="","",BG118)</f>
        <v>12</v>
      </c>
      <c r="AV138" s="97" t="str">
        <f>IF((EVK+EFTK+EP)=0,"",IF(BH118=0,"",BH118))</f>
        <v/>
      </c>
      <c r="AW138" s="97">
        <f>IF($AD134="","",BI118)</f>
        <v>12</v>
      </c>
      <c r="AX138" s="98" t="str">
        <f>IF((EVK+EFTK+EP)=0,"",IF(BJ118=0,"",BJ118))</f>
        <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f>IF($AD136="","",BG119)</f>
        <v>10</v>
      </c>
      <c r="AV140" s="97" t="str">
        <f>IF((EVK+EFTK+EP)=0,"",IF(BH119=0,"",BH119))</f>
        <v/>
      </c>
      <c r="AW140" s="97">
        <f>IF($AD136="","",BI119)</f>
        <v>10</v>
      </c>
      <c r="AX140" s="98" t="str">
        <f>IF((EVK+EFTK+EP)=0,"",IF(BJ119=0,"",BJ119))</f>
        <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t="str">
        <f>IF($AD138="","",BG120)</f>
        <v/>
      </c>
      <c r="AV142" s="97" t="str">
        <f>IF((EVK+EFTK+EP)=0,"",IF(BH120=0,"",BH120))</f>
        <v/>
      </c>
      <c r="AW142" s="97" t="str">
        <f>IF($AD138="","",BI120)</f>
        <v/>
      </c>
      <c r="AX142" s="98" t="str">
        <f>IF((EVK+EFTK+EP)=0,"",IF(BJ120=0,"",BJ120))</f>
        <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sheetProtection sheet="1" objects="1" scenarios="1"/>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66675</xdr:rowOff>
                  </from>
                  <to>
                    <xdr:col>2</xdr:col>
                    <xdr:colOff>276225</xdr:colOff>
                    <xdr:row>0</xdr:row>
                    <xdr:rowOff>295275</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104775</xdr:colOff>
                    <xdr:row>0</xdr:row>
                    <xdr:rowOff>66675</xdr:rowOff>
                  </from>
                  <to>
                    <xdr:col>6</xdr:col>
                    <xdr:colOff>190500</xdr:colOff>
                    <xdr:row>0</xdr:row>
                    <xdr:rowOff>295275</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200025</xdr:colOff>
                    <xdr:row>0</xdr:row>
                    <xdr:rowOff>66675</xdr:rowOff>
                  </from>
                  <to>
                    <xdr:col>7</xdr:col>
                    <xdr:colOff>9525</xdr:colOff>
                    <xdr:row>0</xdr:row>
                    <xdr:rowOff>295275</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9525</xdr:colOff>
                    <xdr:row>0</xdr:row>
                    <xdr:rowOff>66675</xdr:rowOff>
                  </from>
                  <to>
                    <xdr:col>7</xdr:col>
                    <xdr:colOff>561975</xdr:colOff>
                    <xdr:row>0</xdr:row>
                    <xdr:rowOff>295275</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276225</xdr:colOff>
                    <xdr:row>0</xdr:row>
                    <xdr:rowOff>66675</xdr:rowOff>
                  </from>
                  <to>
                    <xdr:col>3</xdr:col>
                    <xdr:colOff>571500</xdr:colOff>
                    <xdr:row>0</xdr:row>
                    <xdr:rowOff>295275</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66675</xdr:rowOff>
                  </from>
                  <to>
                    <xdr:col>5</xdr:col>
                    <xdr:colOff>104775</xdr:colOff>
                    <xdr:row>0</xdr:row>
                    <xdr:rowOff>295275</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66675</xdr:rowOff>
                  </from>
                  <to>
                    <xdr:col>8</xdr:col>
                    <xdr:colOff>447675</xdr:colOff>
                    <xdr:row>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Q7:V19"/>
  <sheetViews>
    <sheetView showGridLines="0" tabSelected="1" zoomScale="92" workbookViewId="0">
      <selection activeCell="P43" sqref="P43"/>
    </sheetView>
  </sheetViews>
  <sheetFormatPr baseColWidth="10" defaultColWidth="10.83203125" defaultRowHeight="12.75"/>
  <cols>
    <col min="1" max="15" width="10.83203125" style="187"/>
    <col min="16" max="16" width="7.83203125" style="187" customWidth="1"/>
    <col min="17" max="16384" width="10.8320312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19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142875</xdr:colOff>
                    <xdr:row>1</xdr:row>
                    <xdr:rowOff>28575</xdr:rowOff>
                  </from>
                  <to>
                    <xdr:col>17</xdr:col>
                    <xdr:colOff>266700</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pageSetUpPr fitToPage="1"/>
  </sheetPr>
  <dimension ref="R6:W18"/>
  <sheetViews>
    <sheetView showGridLines="0" topLeftCell="A4" workbookViewId="0">
      <selection activeCell="N18" sqref="N18"/>
    </sheetView>
  </sheetViews>
  <sheetFormatPr baseColWidth="10" defaultColWidth="10.83203125" defaultRowHeight="12.75"/>
  <cols>
    <col min="1" max="15" width="10.83203125" style="187"/>
    <col min="16" max="16" width="6" style="187" customWidth="1"/>
    <col min="17" max="17" width="5.83203125" style="187" customWidth="1"/>
    <col min="18" max="16384" width="10.8320312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104775</xdr:colOff>
                    <xdr:row>1</xdr:row>
                    <xdr:rowOff>85725</xdr:rowOff>
                  </from>
                  <to>
                    <xdr:col>18</xdr:col>
                    <xdr:colOff>85725</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P175"/>
  <sheetViews>
    <sheetView showGridLines="0" zoomScale="110" zoomScaleNormal="110" zoomScalePageLayoutView="110" workbookViewId="0"/>
  </sheetViews>
  <sheetFormatPr baseColWidth="10" defaultColWidth="11" defaultRowHeight="12.75"/>
  <cols>
    <col min="1" max="1" width="10" style="215" customWidth="1"/>
    <col min="2" max="14" width="11" style="215"/>
    <col min="15" max="15" width="15" style="215" customWidth="1"/>
    <col min="16" max="16" width="9.83203125" style="215" customWidth="1"/>
    <col min="17" max="16384" width="11" style="215"/>
  </cols>
  <sheetData>
    <row r="1" spans="1:16" ht="18.75">
      <c r="A1" s="216" t="s">
        <v>104</v>
      </c>
      <c r="B1" s="218"/>
      <c r="C1" s="218"/>
      <c r="D1" s="218"/>
      <c r="E1" s="218"/>
      <c r="F1" s="218"/>
      <c r="G1" s="218"/>
      <c r="H1" s="218"/>
      <c r="I1" s="218"/>
      <c r="J1" s="218"/>
      <c r="K1" s="218"/>
      <c r="L1" s="218"/>
      <c r="M1" s="218"/>
      <c r="N1" s="218"/>
      <c r="O1" s="218"/>
      <c r="P1" s="219"/>
    </row>
    <row r="2" spans="1:16" ht="18.75">
      <c r="A2" s="222"/>
      <c r="B2" s="223"/>
      <c r="C2" s="223"/>
      <c r="D2" s="223"/>
      <c r="E2" s="223"/>
      <c r="F2" s="223"/>
      <c r="G2" s="223"/>
      <c r="H2" s="223"/>
      <c r="I2" s="223"/>
      <c r="J2" s="223"/>
      <c r="K2" s="223"/>
      <c r="L2" s="223"/>
      <c r="M2" s="223"/>
      <c r="N2" s="223"/>
      <c r="O2" s="223"/>
      <c r="P2" s="219"/>
    </row>
    <row r="3" spans="1:16" ht="18.75">
      <c r="A3" s="216" t="s">
        <v>123</v>
      </c>
      <c r="B3" s="218"/>
      <c r="C3" s="218"/>
      <c r="D3" s="218"/>
      <c r="E3" s="218"/>
      <c r="F3" s="218"/>
      <c r="G3" s="218"/>
      <c r="H3" s="218"/>
      <c r="I3" s="218"/>
      <c r="J3" s="218"/>
      <c r="K3" s="218"/>
      <c r="L3" s="218"/>
      <c r="M3" s="218"/>
      <c r="N3" s="218"/>
      <c r="O3" s="218"/>
      <c r="P3" s="219"/>
    </row>
    <row r="4" spans="1:16" s="219" customFormat="1" ht="15"/>
    <row r="5" spans="1:16" s="219" customFormat="1" ht="15">
      <c r="A5" s="219" t="s">
        <v>126</v>
      </c>
    </row>
    <row r="6" spans="1:16" s="219" customFormat="1" ht="15"/>
    <row r="7" spans="1:16" s="219" customFormat="1" ht="15">
      <c r="A7" s="219" t="s">
        <v>105</v>
      </c>
    </row>
    <row r="8" spans="1:16" s="219" customFormat="1" ht="15"/>
    <row r="9" spans="1:16" s="219" customFormat="1" ht="15">
      <c r="H9" s="219" t="s">
        <v>106</v>
      </c>
    </row>
    <row r="10" spans="1:16" s="219" customFormat="1" ht="15"/>
    <row r="11" spans="1:16" s="219" customFormat="1" ht="15">
      <c r="H11" s="219" t="s">
        <v>3</v>
      </c>
    </row>
    <row r="12" spans="1:16" s="219" customFormat="1" ht="15">
      <c r="H12" s="219" t="s">
        <v>5</v>
      </c>
    </row>
    <row r="13" spans="1:16" s="219" customFormat="1" ht="15">
      <c r="H13" s="219" t="s">
        <v>107</v>
      </c>
    </row>
    <row r="14" spans="1:16" s="219" customFormat="1" ht="15">
      <c r="H14" s="219" t="s">
        <v>108</v>
      </c>
    </row>
    <row r="15" spans="1:16" s="219" customFormat="1" ht="15">
      <c r="H15" s="219" t="s">
        <v>109</v>
      </c>
    </row>
    <row r="16" spans="1:16" s="219" customFormat="1" ht="15">
      <c r="H16" s="219" t="s">
        <v>110</v>
      </c>
    </row>
    <row r="17" spans="8:8" s="219" customFormat="1" ht="15">
      <c r="H17" s="221" t="s">
        <v>111</v>
      </c>
    </row>
    <row r="18" spans="8:8" s="219" customFormat="1" ht="15">
      <c r="H18" s="221" t="s">
        <v>112</v>
      </c>
    </row>
    <row r="19" spans="8:8" s="219" customFormat="1" ht="15">
      <c r="H19" s="219" t="s">
        <v>127</v>
      </c>
    </row>
    <row r="20" spans="8:8" s="219" customFormat="1" ht="15">
      <c r="H20" s="219" t="s">
        <v>114</v>
      </c>
    </row>
    <row r="21" spans="8:8" s="219" customFormat="1" ht="15"/>
    <row r="22" spans="8:8" s="219" customFormat="1" ht="15">
      <c r="H22" s="221" t="s">
        <v>115</v>
      </c>
    </row>
    <row r="23" spans="8:8" s="219" customFormat="1" ht="15">
      <c r="H23" s="221" t="s">
        <v>116</v>
      </c>
    </row>
    <row r="24" spans="8:8" s="219" customFormat="1" ht="15"/>
    <row r="25" spans="8:8" s="219" customFormat="1" ht="15">
      <c r="H25" s="219" t="s">
        <v>117</v>
      </c>
    </row>
    <row r="26" spans="8:8" s="219" customFormat="1" ht="15"/>
    <row r="27" spans="8:8" s="219" customFormat="1" ht="15"/>
    <row r="28" spans="8:8" s="219" customFormat="1" ht="15"/>
    <row r="29" spans="8:8" s="219" customFormat="1" ht="15"/>
    <row r="30" spans="8:8" s="219" customFormat="1" ht="15"/>
    <row r="31" spans="8:8" s="219" customFormat="1" ht="15"/>
    <row r="32" spans="8:8" s="219" customFormat="1" ht="15"/>
    <row r="33" spans="1:16" s="219" customFormat="1" ht="15"/>
    <row r="34" spans="1:16" s="219" customFormat="1" ht="15"/>
    <row r="35" spans="1:16" s="219" customFormat="1" ht="15"/>
    <row r="36" spans="1:16" s="219" customFormat="1" ht="15"/>
    <row r="37" spans="1:16" s="219" customFormat="1" ht="15"/>
    <row r="38" spans="1:16" s="219" customFormat="1" ht="15"/>
    <row r="39" spans="1:16" s="219" customFormat="1" ht="15"/>
    <row r="40" spans="1:16" ht="18.75">
      <c r="A40" s="216" t="s">
        <v>134</v>
      </c>
      <c r="B40" s="218"/>
      <c r="C40" s="218"/>
      <c r="D40" s="218"/>
      <c r="E40" s="218"/>
      <c r="F40" s="218"/>
      <c r="G40" s="218"/>
      <c r="H40" s="218"/>
      <c r="I40" s="218"/>
      <c r="J40" s="218"/>
      <c r="K40" s="218"/>
      <c r="L40" s="218"/>
      <c r="M40" s="218"/>
      <c r="N40" s="218"/>
      <c r="O40" s="218"/>
      <c r="P40" s="219"/>
    </row>
    <row r="41" spans="1:16" s="219" customFormat="1" ht="15"/>
    <row r="42" spans="1:16" ht="18.75">
      <c r="A42" s="216" t="s">
        <v>135</v>
      </c>
      <c r="B42" s="218"/>
      <c r="C42" s="218"/>
      <c r="D42" s="218"/>
      <c r="E42" s="218"/>
      <c r="F42" s="218"/>
      <c r="G42" s="218"/>
      <c r="H42" s="218"/>
      <c r="I42" s="218"/>
      <c r="J42" s="218"/>
      <c r="K42" s="218"/>
      <c r="L42" s="218"/>
      <c r="M42" s="218"/>
      <c r="N42" s="218"/>
      <c r="O42" s="218"/>
      <c r="P42" s="219"/>
    </row>
    <row r="43" spans="1:16" s="219" customFormat="1" ht="15">
      <c r="A43" s="219" t="s">
        <v>136</v>
      </c>
    </row>
    <row r="44" spans="1:16" s="219" customFormat="1" ht="15">
      <c r="A44" s="219" t="s">
        <v>148</v>
      </c>
    </row>
    <row r="45" spans="1:16" s="219" customFormat="1" ht="15">
      <c r="A45" s="219" t="s">
        <v>149</v>
      </c>
    </row>
    <row r="46" spans="1:16" s="219" customFormat="1" ht="15">
      <c r="A46" s="219" t="s">
        <v>137</v>
      </c>
    </row>
    <row r="47" spans="1:16" s="219" customFormat="1" ht="15"/>
    <row r="48" spans="1:16" s="219" customFormat="1" ht="15"/>
    <row r="49" spans="1:16" s="219" customFormat="1" ht="15"/>
    <row r="50" spans="1:16" s="219" customFormat="1" ht="15"/>
    <row r="51" spans="1:16" s="219" customFormat="1" ht="15"/>
    <row r="52" spans="1:16" s="219" customFormat="1" ht="15"/>
    <row r="53" spans="1:16" s="219" customFormat="1" ht="15"/>
    <row r="54" spans="1:16" s="219" customFormat="1" ht="15"/>
    <row r="55" spans="1:16" s="219" customFormat="1" ht="15"/>
    <row r="56" spans="1:16" s="219" customFormat="1" ht="15"/>
    <row r="57" spans="1:16" s="219" customFormat="1" ht="15"/>
    <row r="58" spans="1:16" s="219" customFormat="1" ht="15">
      <c r="H58" s="221"/>
    </row>
    <row r="59" spans="1:16" s="219" customFormat="1" ht="15">
      <c r="H59" s="221"/>
    </row>
    <row r="60" spans="1:16" s="219" customFormat="1" ht="15"/>
    <row r="61" spans="1:16" ht="18.75">
      <c r="A61" s="216" t="s">
        <v>138</v>
      </c>
      <c r="B61" s="218"/>
      <c r="C61" s="218"/>
      <c r="D61" s="218"/>
      <c r="E61" s="218"/>
      <c r="F61" s="218"/>
      <c r="G61" s="218"/>
      <c r="H61" s="216" t="s">
        <v>142</v>
      </c>
      <c r="I61" s="216"/>
      <c r="J61" s="218"/>
      <c r="K61" s="218"/>
      <c r="L61" s="218"/>
      <c r="M61" s="218"/>
      <c r="N61" s="218"/>
      <c r="O61" s="218"/>
      <c r="P61" s="219"/>
    </row>
    <row r="62" spans="1:16" s="219" customFormat="1" ht="15">
      <c r="A62" s="219" t="s">
        <v>140</v>
      </c>
      <c r="H62" s="219" t="s">
        <v>143</v>
      </c>
    </row>
    <row r="63" spans="1:16" s="219" customFormat="1" ht="15">
      <c r="A63" s="219" t="s">
        <v>144</v>
      </c>
      <c r="H63" s="219" t="s">
        <v>150</v>
      </c>
    </row>
    <row r="64" spans="1:16" s="219" customFormat="1" ht="15">
      <c r="A64" s="219" t="s">
        <v>141</v>
      </c>
    </row>
    <row r="65" spans="1:9" s="219" customFormat="1" ht="15"/>
    <row r="66" spans="1:9" s="219" customFormat="1" ht="15"/>
    <row r="67" spans="1:9" s="219" customFormat="1" ht="15"/>
    <row r="68" spans="1:9" s="219" customFormat="1" ht="15">
      <c r="A68" s="219" t="s">
        <v>139</v>
      </c>
    </row>
    <row r="69" spans="1:9" s="219" customFormat="1" ht="15">
      <c r="A69" s="219" t="s">
        <v>151</v>
      </c>
    </row>
    <row r="70" spans="1:9" s="219" customFormat="1" ht="15"/>
    <row r="71" spans="1:9" s="219" customFormat="1" ht="15">
      <c r="H71" s="219" t="s">
        <v>147</v>
      </c>
    </row>
    <row r="72" spans="1:9" s="219" customFormat="1" ht="15">
      <c r="I72" s="231" t="s">
        <v>145</v>
      </c>
    </row>
    <row r="73" spans="1:9" s="219" customFormat="1" ht="15">
      <c r="I73" s="230" t="s">
        <v>146</v>
      </c>
    </row>
    <row r="74" spans="1:9" s="219" customFormat="1" ht="15"/>
    <row r="75" spans="1:9" s="219" customFormat="1" ht="15">
      <c r="I75" s="231"/>
    </row>
    <row r="76" spans="1:9" s="219" customFormat="1" ht="15"/>
    <row r="77" spans="1:9" s="219" customFormat="1" ht="15"/>
    <row r="78" spans="1:9" s="219" customFormat="1" ht="15"/>
    <row r="79" spans="1:9" s="219" customFormat="1" ht="15"/>
    <row r="80" spans="1:9" s="219" customFormat="1" ht="15"/>
    <row r="81" spans="1:16" s="219" customFormat="1" ht="0.95" customHeight="1"/>
    <row r="82" spans="1:16" ht="18.75">
      <c r="A82" s="216" t="s">
        <v>124</v>
      </c>
      <c r="B82" s="218"/>
      <c r="C82" s="218"/>
      <c r="D82" s="218"/>
      <c r="E82" s="218"/>
      <c r="F82" s="218"/>
      <c r="G82" s="218"/>
      <c r="H82" s="218"/>
      <c r="I82" s="218"/>
      <c r="J82" s="218"/>
      <c r="K82" s="218"/>
      <c r="L82" s="218"/>
      <c r="M82" s="218"/>
      <c r="N82" s="218"/>
      <c r="O82" s="218"/>
      <c r="P82" s="219"/>
    </row>
    <row r="83" spans="1:16" s="219" customFormat="1" ht="15"/>
    <row r="84" spans="1:16" s="219" customFormat="1" ht="15"/>
    <row r="85" spans="1:16" s="219" customFormat="1" ht="15"/>
    <row r="86" spans="1:16" s="219" customFormat="1" ht="15"/>
    <row r="87" spans="1:16" s="219" customFormat="1" ht="15"/>
    <row r="88" spans="1:16" s="219" customFormat="1" ht="15"/>
    <row r="89" spans="1:16" s="219" customFormat="1" ht="15"/>
    <row r="90" spans="1:16" s="219" customFormat="1" ht="15">
      <c r="A90" s="219" t="s">
        <v>122</v>
      </c>
      <c r="G90" s="219" t="s">
        <v>120</v>
      </c>
    </row>
    <row r="91" spans="1:16" s="219" customFormat="1" ht="15"/>
    <row r="92" spans="1:16" s="219" customFormat="1" ht="15"/>
    <row r="93" spans="1:16" s="219" customFormat="1" ht="15"/>
    <row r="94" spans="1:16" s="219" customFormat="1" ht="15"/>
    <row r="95" spans="1:16" s="219" customFormat="1" ht="15"/>
    <row r="96" spans="1:16" s="219" customFormat="1" ht="15"/>
    <row r="97" spans="1:7" s="219" customFormat="1" ht="15"/>
    <row r="98" spans="1:7" s="219" customFormat="1" ht="15"/>
    <row r="99" spans="1:7" s="219" customFormat="1" ht="15"/>
    <row r="100" spans="1:7" s="219" customFormat="1" ht="15"/>
    <row r="101" spans="1:7" s="219" customFormat="1" ht="15">
      <c r="A101" s="219" t="s">
        <v>118</v>
      </c>
    </row>
    <row r="102" spans="1:7" s="219" customFormat="1" ht="15">
      <c r="A102" s="219" t="s">
        <v>119</v>
      </c>
    </row>
    <row r="103" spans="1:7" s="219" customFormat="1" ht="15"/>
    <row r="104" spans="1:7" s="219" customFormat="1" ht="15">
      <c r="G104" s="219" t="s">
        <v>121</v>
      </c>
    </row>
    <row r="105" spans="1:7" s="219" customFormat="1" ht="15"/>
    <row r="106" spans="1:7" s="219" customFormat="1" ht="15"/>
    <row r="107" spans="1:7" s="219" customFormat="1" ht="15"/>
    <row r="108" spans="1:7" s="219" customFormat="1" ht="15"/>
    <row r="109" spans="1:7" s="219" customFormat="1" ht="15"/>
    <row r="110" spans="1:7" s="219" customFormat="1" ht="15"/>
    <row r="111" spans="1:7" s="219" customFormat="1" ht="15"/>
    <row r="112" spans="1:7" s="219" customFormat="1" ht="15"/>
    <row r="113" spans="1:16" s="219" customFormat="1" ht="15"/>
    <row r="114" spans="1:16" s="219" customFormat="1" ht="15"/>
    <row r="115" spans="1:16" s="219" customFormat="1" ht="15"/>
    <row r="116" spans="1:16" s="219" customFormat="1" ht="15"/>
    <row r="117" spans="1:16" s="219" customFormat="1" ht="15"/>
    <row r="118" spans="1:16" s="219" customFormat="1" ht="15"/>
    <row r="119" spans="1:16" ht="18.75">
      <c r="A119" s="216" t="s">
        <v>113</v>
      </c>
      <c r="B119" s="217"/>
      <c r="C119" s="217"/>
      <c r="D119" s="217"/>
      <c r="E119" s="217"/>
      <c r="F119" s="217"/>
      <c r="G119" s="217"/>
      <c r="H119" s="217"/>
      <c r="I119" s="217"/>
      <c r="J119" s="217"/>
      <c r="K119" s="217"/>
      <c r="L119" s="217"/>
      <c r="M119" s="217"/>
      <c r="N119" s="217"/>
      <c r="O119" s="217"/>
      <c r="P119" s="219"/>
    </row>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1:10" ht="15" customHeight="1"/>
    <row r="146" spans="1:10" ht="15" customHeight="1"/>
    <row r="147" spans="1:10" ht="15" customHeight="1"/>
    <row r="148" spans="1:10" ht="15" customHeight="1"/>
    <row r="149" spans="1:10" ht="15" customHeight="1"/>
    <row r="150" spans="1:10" ht="15" customHeight="1"/>
    <row r="151" spans="1:10" ht="15" customHeight="1"/>
    <row r="152" spans="1:10" ht="15" customHeight="1"/>
    <row r="153" spans="1:10" ht="15" customHeight="1"/>
    <row r="154" spans="1:10" ht="30.95" customHeight="1"/>
    <row r="155" spans="1:10" ht="2.1" customHeight="1"/>
    <row r="156" spans="1:10" ht="15" customHeight="1">
      <c r="A156" s="220" t="s">
        <v>102</v>
      </c>
      <c r="D156" s="214" t="s">
        <v>101</v>
      </c>
      <c r="J156" s="215" t="s">
        <v>125</v>
      </c>
    </row>
    <row r="157" spans="1:10" ht="15" customHeight="1"/>
    <row r="158" spans="1:10" ht="15" customHeight="1"/>
    <row r="170" spans="1:15" ht="21" customHeight="1"/>
    <row r="171" spans="1:15" ht="18.75">
      <c r="A171" s="216" t="s">
        <v>128</v>
      </c>
      <c r="B171" s="217"/>
      <c r="C171" s="217"/>
      <c r="D171" s="217"/>
      <c r="E171" s="217"/>
      <c r="F171" s="217"/>
      <c r="G171" s="217"/>
      <c r="H171" s="217"/>
      <c r="I171" s="217"/>
      <c r="J171" s="217"/>
      <c r="K171" s="217"/>
      <c r="L171" s="217"/>
      <c r="M171" s="217"/>
      <c r="N171" s="217"/>
      <c r="O171" s="217"/>
    </row>
    <row r="172" spans="1:15">
      <c r="A172" s="215" t="s">
        <v>130</v>
      </c>
    </row>
    <row r="173" spans="1:15">
      <c r="A173" s="215" t="s">
        <v>103</v>
      </c>
    </row>
    <row r="174" spans="1:15" ht="8.1" customHeight="1"/>
    <row r="175" spans="1:15">
      <c r="A175"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3" manualBreakCount="3">
    <brk id="80" max="14" man="1"/>
    <brk id="118" max="14" man="1"/>
    <brk id="154"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123825</xdr:rowOff>
                  </from>
                  <to>
                    <xdr:col>16</xdr:col>
                    <xdr:colOff>542925</xdr:colOff>
                    <xdr:row>1</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2015-10-18T19:48:46Z</cp:lastPrinted>
  <dcterms:created xsi:type="dcterms:W3CDTF">1997-04-20T19:20:03Z</dcterms:created>
  <dcterms:modified xsi:type="dcterms:W3CDTF">2018-07-04T15:26:53Z</dcterms:modified>
</cp:coreProperties>
</file>