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7970" windowHeight="7395"/>
  </bookViews>
  <sheets>
    <sheet name="8.1" sheetId="1" r:id="rId1"/>
    <sheet name="8.2" sheetId="2" r:id="rId2"/>
    <sheet name="8.3" sheetId="3" r:id="rId3"/>
    <sheet name="8.4" sheetId="4" r:id="rId4"/>
    <sheet name="8,5" sheetId="5" r:id="rId5"/>
    <sheet name="8.6" sheetId="18" r:id="rId6"/>
    <sheet name="8.7" sheetId="6" r:id="rId7"/>
    <sheet name="8.8" sheetId="9" r:id="rId8"/>
    <sheet name="8.9" sheetId="7" r:id="rId9"/>
    <sheet name="8.10" sheetId="8" r:id="rId10"/>
    <sheet name="8.11" sheetId="12" r:id="rId11"/>
    <sheet name="8.12" sheetId="19" r:id="rId12"/>
    <sheet name="8.13" sheetId="13" r:id="rId13"/>
    <sheet name="8.14" sheetId="14" r:id="rId14"/>
    <sheet name="8.15" sheetId="15" r:id="rId15"/>
    <sheet name="8.16" sheetId="16" r:id="rId16"/>
    <sheet name="8.17" sheetId="17" r:id="rId17"/>
    <sheet name="8.18" sheetId="20" r:id="rId18"/>
    <sheet name="Ark1" sheetId="21" r:id="rId19"/>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2" l="1"/>
  <c r="C16" i="12" s="1"/>
  <c r="C19" i="12" s="1"/>
  <c r="C21" i="12" s="1"/>
  <c r="B18" i="20"/>
  <c r="B19" i="20" l="1"/>
  <c r="B20" i="20" s="1"/>
  <c r="E37" i="9"/>
  <c r="E36" i="9"/>
  <c r="E35" i="9"/>
  <c r="E33" i="9"/>
  <c r="E31" i="9"/>
  <c r="E23" i="9"/>
  <c r="B47" i="9"/>
  <c r="B24" i="20" l="1"/>
  <c r="B25" i="20" s="1"/>
  <c r="B23" i="20"/>
  <c r="B26" i="20" l="1"/>
  <c r="B34" i="17"/>
  <c r="B29" i="17"/>
  <c r="B77" i="19"/>
  <c r="B79" i="19" s="1"/>
  <c r="B48" i="19"/>
  <c r="B44" i="19"/>
  <c r="B42" i="19"/>
  <c r="B45" i="19" s="1"/>
  <c r="B46" i="19" s="1"/>
  <c r="B49" i="19" s="1"/>
  <c r="B50" i="19" s="1"/>
  <c r="B53" i="19" s="1"/>
  <c r="B23" i="19"/>
  <c r="B27" i="19" s="1"/>
  <c r="B82" i="19" l="1"/>
  <c r="B81" i="19"/>
  <c r="B25" i="19"/>
  <c r="B30" i="19" s="1"/>
  <c r="B31" i="19" s="1"/>
  <c r="B52" i="19"/>
  <c r="B57" i="19" s="1"/>
  <c r="B58" i="19" s="1"/>
  <c r="B59" i="19" s="1"/>
  <c r="B60" i="19" s="1"/>
  <c r="B28" i="20"/>
  <c r="B27" i="20"/>
  <c r="B27" i="18"/>
  <c r="C13" i="18"/>
  <c r="C22" i="18" s="1"/>
  <c r="B13" i="18"/>
  <c r="B44" i="9"/>
  <c r="B42" i="9"/>
  <c r="B43" i="9" s="1"/>
  <c r="B45" i="9" s="1"/>
  <c r="B41" i="9"/>
  <c r="B33" i="9"/>
  <c r="B34" i="9" s="1"/>
  <c r="B32" i="9"/>
  <c r="B29" i="9"/>
  <c r="B25" i="9"/>
  <c r="B23" i="9"/>
  <c r="E20" i="9"/>
  <c r="E21" i="9" s="1"/>
  <c r="D20" i="9"/>
  <c r="E19" i="9"/>
  <c r="E13" i="9"/>
  <c r="E11" i="9"/>
  <c r="B11" i="9"/>
  <c r="B13" i="9" s="1"/>
  <c r="B33" i="19" l="1"/>
  <c r="B32" i="19"/>
  <c r="B29" i="20"/>
  <c r="B30" i="20" s="1"/>
  <c r="B61" i="19"/>
  <c r="B62" i="19" s="1"/>
  <c r="C14" i="18"/>
  <c r="C15" i="18" s="1"/>
  <c r="C28" i="18"/>
  <c r="E24" i="9"/>
  <c r="E25" i="9" s="1"/>
  <c r="B14" i="9"/>
  <c r="B28" i="9"/>
  <c r="B30" i="9" s="1"/>
  <c r="B36" i="9" s="1"/>
  <c r="E14" i="9" s="1"/>
  <c r="C16" i="18" l="1"/>
  <c r="C17" i="18"/>
  <c r="C21" i="18" s="1"/>
  <c r="C23" i="18" s="1"/>
  <c r="C25" i="18" s="1"/>
  <c r="E26" i="9"/>
  <c r="E27" i="9" s="1"/>
  <c r="B43" i="17"/>
  <c r="B44" i="17" s="1"/>
  <c r="B30" i="17"/>
  <c r="B23" i="17"/>
  <c r="B21" i="17"/>
  <c r="B22" i="17" s="1"/>
  <c r="B24" i="17" s="1"/>
  <c r="B26" i="17" s="1"/>
  <c r="B20" i="17"/>
  <c r="B17" i="17"/>
  <c r="B39" i="16"/>
  <c r="B40" i="16" s="1"/>
  <c r="B43" i="16" s="1"/>
  <c r="B30" i="16"/>
  <c r="B27" i="16"/>
  <c r="B26" i="16"/>
  <c r="B28" i="16" s="1"/>
  <c r="B29" i="16" s="1"/>
  <c r="B31" i="16" s="1"/>
  <c r="B25" i="16"/>
  <c r="B21" i="16"/>
  <c r="B20" i="16"/>
  <c r="B22" i="16" s="1"/>
  <c r="B31" i="17" l="1"/>
  <c r="B36" i="17" s="1"/>
  <c r="B37" i="17" s="1"/>
  <c r="B38" i="17" s="1"/>
  <c r="C18" i="18"/>
  <c r="C19" i="18" s="1"/>
  <c r="C27" i="18" s="1"/>
  <c r="E28" i="9"/>
  <c r="E29" i="9" s="1"/>
  <c r="B32" i="16"/>
  <c r="B33" i="16" s="1"/>
  <c r="B35" i="16" s="1"/>
  <c r="B44" i="16" s="1"/>
  <c r="B46" i="16" s="1"/>
  <c r="C25" i="15"/>
  <c r="C20" i="15"/>
  <c r="C18" i="15"/>
  <c r="C19" i="15" s="1"/>
  <c r="C21" i="15" s="1"/>
  <c r="C32" i="15" s="1"/>
  <c r="C34" i="15" s="1"/>
  <c r="D18" i="14"/>
  <c r="D19" i="14" s="1"/>
  <c r="D23" i="14" s="1"/>
  <c r="D13" i="14"/>
  <c r="B16" i="13"/>
  <c r="B17" i="13" s="1"/>
  <c r="B15" i="13"/>
  <c r="C53" i="12"/>
  <c r="C54" i="12" s="1"/>
  <c r="C52" i="12"/>
  <c r="C45" i="12"/>
  <c r="C46" i="12" s="1"/>
  <c r="C35" i="12"/>
  <c r="C34" i="12"/>
  <c r="C36" i="12" s="1"/>
  <c r="C29" i="12"/>
  <c r="C32" i="12" s="1"/>
  <c r="C34" i="8"/>
  <c r="C33" i="8"/>
  <c r="C32" i="8"/>
  <c r="C22" i="8"/>
  <c r="C23" i="8" s="1"/>
  <c r="C24" i="8" s="1"/>
  <c r="B22" i="8"/>
  <c r="C18" i="8"/>
  <c r="C20" i="8" s="1"/>
  <c r="C25" i="8" s="1"/>
  <c r="C17" i="8"/>
  <c r="C16" i="8"/>
  <c r="B16" i="8"/>
  <c r="C30" i="7"/>
  <c r="C27" i="7"/>
  <c r="C28" i="7" s="1"/>
  <c r="C29" i="7" s="1"/>
  <c r="C31" i="7" s="1"/>
  <c r="B27" i="7"/>
  <c r="C16" i="7"/>
  <c r="C13" i="7"/>
  <c r="C14" i="7" s="1"/>
  <c r="C15" i="7" s="1"/>
  <c r="B13" i="7"/>
  <c r="C26" i="6"/>
  <c r="C27" i="6" s="1"/>
  <c r="C29" i="6" s="1"/>
  <c r="C21" i="6"/>
  <c r="C23" i="6" s="1"/>
  <c r="C33" i="6" s="1"/>
  <c r="C34" i="6" s="1"/>
  <c r="C17" i="7" l="1"/>
  <c r="C35" i="6"/>
  <c r="C36" i="6" s="1"/>
  <c r="C29" i="18"/>
  <c r="C31" i="18"/>
  <c r="C35" i="15"/>
  <c r="C36" i="15" s="1"/>
  <c r="B47" i="16"/>
  <c r="B48" i="16"/>
  <c r="C22" i="15"/>
  <c r="C23" i="15" s="1"/>
  <c r="C27" i="15" s="1"/>
  <c r="D15" i="14"/>
  <c r="D20" i="14" s="1"/>
  <c r="D21" i="14" s="1"/>
  <c r="D14" i="14"/>
  <c r="B18" i="13"/>
  <c r="B19" i="13" s="1"/>
  <c r="C47" i="12"/>
  <c r="C50" i="12" s="1"/>
  <c r="C38" i="12"/>
  <c r="C40" i="12"/>
  <c r="C42" i="12" s="1"/>
  <c r="C26" i="8"/>
  <c r="C20" i="5"/>
  <c r="C22" i="5" s="1"/>
  <c r="E19" i="5"/>
  <c r="E20" i="5" s="1"/>
  <c r="E22" i="5" s="1"/>
  <c r="D19" i="5"/>
  <c r="D20" i="5" s="1"/>
  <c r="D22" i="5" s="1"/>
  <c r="C19" i="5"/>
  <c r="C11" i="5"/>
  <c r="C13" i="5" s="1"/>
  <c r="F23" i="5" s="1"/>
  <c r="C14" i="4"/>
  <c r="C13" i="3"/>
  <c r="C14" i="3" s="1"/>
  <c r="C15" i="3" s="1"/>
  <c r="C14" i="2"/>
  <c r="C19" i="1"/>
  <c r="C20" i="1" s="1"/>
  <c r="C40" i="6" l="1"/>
  <c r="C42" i="6" s="1"/>
  <c r="C37" i="6"/>
  <c r="C38" i="6" s="1"/>
  <c r="F22" i="5"/>
  <c r="F24" i="5" s="1"/>
  <c r="F27" i="5" s="1"/>
  <c r="C16" i="3"/>
  <c r="C17" i="3" s="1"/>
  <c r="C15" i="2"/>
  <c r="C16" i="2" s="1"/>
  <c r="D19" i="1"/>
  <c r="C21" i="1"/>
  <c r="C28" i="15"/>
  <c r="C29" i="15" s="1"/>
  <c r="B20" i="13"/>
  <c r="B21" i="13"/>
  <c r="C48" i="12"/>
  <c r="C55" i="12" s="1"/>
  <c r="C56" i="12" s="1"/>
  <c r="C15" i="4"/>
  <c r="C23" i="4" s="1"/>
  <c r="C17" i="2" l="1"/>
  <c r="C18" i="2" s="1"/>
  <c r="D20" i="1"/>
  <c r="D21" i="1" s="1"/>
  <c r="C22" i="1"/>
  <c r="C23" i="1"/>
  <c r="C16" i="4"/>
  <c r="D23" i="1" l="1"/>
  <c r="D22" i="1"/>
  <c r="C24" i="1"/>
  <c r="C25" i="1"/>
  <c r="C17" i="4"/>
  <c r="C24" i="4" s="1"/>
  <c r="C25" i="4" s="1"/>
  <c r="C27" i="4" s="1"/>
  <c r="D24" i="1" l="1"/>
  <c r="D25" i="1" s="1"/>
  <c r="C18" i="4"/>
  <c r="C19" i="4" l="1"/>
  <c r="C20" i="4" s="1"/>
</calcChain>
</file>

<file path=xl/sharedStrings.xml><?xml version="1.0" encoding="utf-8"?>
<sst xmlns="http://schemas.openxmlformats.org/spreadsheetml/2006/main" count="556" uniqueCount="293">
  <si>
    <t>Inndata:</t>
  </si>
  <si>
    <t>Antall hvitløkspresser</t>
  </si>
  <si>
    <t>Innkjøpsverdi hele partiet uten mva</t>
  </si>
  <si>
    <t>Direkte innkjøpskostnader uten mva</t>
  </si>
  <si>
    <t>Indirekte kostnader</t>
  </si>
  <si>
    <t>Fortjeneste</t>
  </si>
  <si>
    <t>Merverdiavgift</t>
  </si>
  <si>
    <t>a)</t>
  </si>
  <si>
    <t xml:space="preserve"> +</t>
  </si>
  <si>
    <t xml:space="preserve"> =</t>
  </si>
  <si>
    <t>Hele partiet</t>
  </si>
  <si>
    <t>Per enhet</t>
  </si>
  <si>
    <t>Innkjøpsverdi uten mva</t>
  </si>
  <si>
    <t xml:space="preserve">Inntakskost </t>
  </si>
  <si>
    <t>b)</t>
  </si>
  <si>
    <t>80 % indirekte kostnader</t>
  </si>
  <si>
    <t>Selvkost</t>
  </si>
  <si>
    <t>c)</t>
  </si>
  <si>
    <t>salgspris uten mva</t>
  </si>
  <si>
    <t>10 % fortjeneste</t>
  </si>
  <si>
    <t>Salgspris uten mva</t>
  </si>
  <si>
    <t>25 % merverdiavgift</t>
  </si>
  <si>
    <t>Salgspris med merverdiavgift</t>
  </si>
  <si>
    <t>d)</t>
  </si>
  <si>
    <r>
      <t xml:space="preserve">Innkjøpspris per stk </t>
    </r>
    <r>
      <rPr>
        <i/>
        <sz val="11"/>
        <color theme="1"/>
        <rFont val="Calibri"/>
        <family val="2"/>
        <scheme val="minor"/>
      </rPr>
      <t>med</t>
    </r>
    <r>
      <rPr>
        <sz val="11"/>
        <color theme="1"/>
        <rFont val="Calibri"/>
        <family val="2"/>
        <scheme val="minor"/>
      </rPr>
      <t xml:space="preserve"> mva</t>
    </r>
  </si>
  <si>
    <t>Tillegg for indirekte kostnader</t>
  </si>
  <si>
    <t xml:space="preserve">Tillegg for fortjeneste </t>
  </si>
  <si>
    <t>Beregninger:</t>
  </si>
  <si>
    <t>Innkjøpspris uten mva</t>
  </si>
  <si>
    <t xml:space="preserve">  =</t>
  </si>
  <si>
    <t>Tillegg for fortjeneste</t>
  </si>
  <si>
    <t>indirekte kostnader</t>
  </si>
  <si>
    <t>Pris per nøste uten mva</t>
  </si>
  <si>
    <t>Avanse</t>
  </si>
  <si>
    <t>Mva</t>
  </si>
  <si>
    <t>Innkjøpspris per stk</t>
  </si>
  <si>
    <t>avanse</t>
  </si>
  <si>
    <t>Innkjøpspris per kilo</t>
  </si>
  <si>
    <t>Tillegg indirekte kostnader</t>
  </si>
  <si>
    <t>fortjeneste</t>
  </si>
  <si>
    <t>15 % merverdiavgift</t>
  </si>
  <si>
    <t>Salgspris med mva</t>
  </si>
  <si>
    <t>Avansen skal dekke</t>
  </si>
  <si>
    <t>Avanseprosent</t>
  </si>
  <si>
    <t>Påslagstallet skal dekke indirekte kostnader, fortjeneste og merverdiavgift.</t>
  </si>
  <si>
    <t>Hvilket tall må vi multiplisere kr 50 med for å komme frem til  kr 88, 55?</t>
  </si>
  <si>
    <t xml:space="preserve"> 50 * påslagstall = 88,55</t>
  </si>
  <si>
    <t>Påslagstall = 88,55/50 =</t>
  </si>
  <si>
    <t>merverdiavgift</t>
  </si>
  <si>
    <t>Inntakskost per kåpe</t>
  </si>
  <si>
    <t>Ordinært salg</t>
  </si>
  <si>
    <t>Salg etter jul</t>
  </si>
  <si>
    <t>Siste salgsdag</t>
  </si>
  <si>
    <t>Antall kåper</t>
  </si>
  <si>
    <t>Pris med merverdiavgift</t>
  </si>
  <si>
    <t>pris uten merverdiavgift</t>
  </si>
  <si>
    <t>Salgsinntekt</t>
  </si>
  <si>
    <t>SUM</t>
  </si>
  <si>
    <t>inntakskost</t>
  </si>
  <si>
    <t>NB! Vi har delt salgsprisen uten mva på 1+ avanseprosenten = 2,20</t>
  </si>
  <si>
    <t>Oppnådd avanse i alt</t>
  </si>
  <si>
    <t>Gjennomsnittsavanse:</t>
  </si>
  <si>
    <t>Salgsinntekter</t>
  </si>
  <si>
    <t>Varekostnader</t>
  </si>
  <si>
    <t>Lønnskostnader</t>
  </si>
  <si>
    <t>Avskrivninger</t>
  </si>
  <si>
    <t>Andre driftskostnader</t>
  </si>
  <si>
    <t>Rentekostnader</t>
  </si>
  <si>
    <t>a.1</t>
  </si>
  <si>
    <t>Indirekte kostnader i %</t>
  </si>
  <si>
    <t>a.2</t>
  </si>
  <si>
    <t xml:space="preserve">Fortjenesten i % </t>
  </si>
  <si>
    <t>Inntakskost per snøskuffe</t>
  </si>
  <si>
    <t>Indirekte kostnader, 32,3 %</t>
  </si>
  <si>
    <t>Fortjeneste, 8 %</t>
  </si>
  <si>
    <t>Oppnådd avanse</t>
  </si>
  <si>
    <t>Inntakskost</t>
  </si>
  <si>
    <t>Utdata:</t>
  </si>
  <si>
    <t>–</t>
  </si>
  <si>
    <t>=</t>
  </si>
  <si>
    <t>Dekningsbidrag per stk.</t>
  </si>
  <si>
    <t>Dekningsbidraget</t>
  </si>
  <si>
    <t>dekningsbidraget</t>
  </si>
  <si>
    <t>Innkjøpsverdi</t>
  </si>
  <si>
    <t>Innkjøpskostnader</t>
  </si>
  <si>
    <t>Antall (stk)</t>
  </si>
  <si>
    <t>+</t>
  </si>
  <si>
    <t>innkjøpskostnader</t>
  </si>
  <si>
    <t>Inntakskost per grill</t>
  </si>
  <si>
    <t>Dekningsbidraget per grill</t>
  </si>
  <si>
    <t>Laveste pris</t>
  </si>
  <si>
    <t>Husleie</t>
  </si>
  <si>
    <t>Sum indirekte kostnader</t>
  </si>
  <si>
    <t>Varekostnaden</t>
  </si>
  <si>
    <t>Indirekte kostnader i prosent</t>
  </si>
  <si>
    <t>varekostnad</t>
  </si>
  <si>
    <t>Bruttofortjenesten</t>
  </si>
  <si>
    <t>Bruttofortjenesten i prosent</t>
  </si>
  <si>
    <t>Avansen = bruttofortjenesten =</t>
  </si>
  <si>
    <t>Avansen i prosent</t>
  </si>
  <si>
    <t>e)</t>
  </si>
  <si>
    <t>Dekningsbidraget = avansen =</t>
  </si>
  <si>
    <t>f)</t>
  </si>
  <si>
    <t>Tilbudspris med mva</t>
  </si>
  <si>
    <t>Varekostnad</t>
  </si>
  <si>
    <t xml:space="preserve">Fortjeneste </t>
  </si>
  <si>
    <t>25 % mva</t>
  </si>
  <si>
    <t>Vask av sengetøy</t>
  </si>
  <si>
    <t>Klargjøring av rommet</t>
  </si>
  <si>
    <t>Frokost</t>
  </si>
  <si>
    <t>Sum variable kostnader</t>
  </si>
  <si>
    <t>Indirekte faste kostnader</t>
  </si>
  <si>
    <t>Prisen med mva</t>
  </si>
  <si>
    <t>- merverdiavgift</t>
  </si>
  <si>
    <t>Pris uten mva</t>
  </si>
  <si>
    <t>- selvkost</t>
  </si>
  <si>
    <t>Dekningsbidrag (pris - variable kostnader)</t>
  </si>
  <si>
    <t>Gj.sn.årslønn inkl. ferielønn</t>
  </si>
  <si>
    <t>Sosiale kostnader</t>
  </si>
  <si>
    <t>Fakturerbare timer per ansatt</t>
  </si>
  <si>
    <t>Lønn inkl. ferielønn</t>
  </si>
  <si>
    <t xml:space="preserve">Selvkost </t>
  </si>
  <si>
    <t>Beløpet som skal dekkes inn</t>
  </si>
  <si>
    <t>Antall fakturerbare timer</t>
  </si>
  <si>
    <t>Timepris uten mva</t>
  </si>
  <si>
    <t xml:space="preserve">25 % mva </t>
  </si>
  <si>
    <t>Timepris med mva</t>
  </si>
  <si>
    <t xml:space="preserve">Selvkost per fakturerbar time </t>
  </si>
  <si>
    <t>Laveste timepris som dekker kostn.</t>
  </si>
  <si>
    <t>Rørleggere i heltidsstilling</t>
  </si>
  <si>
    <t>Kontormedarbeidere i halv stilling</t>
  </si>
  <si>
    <t>Årslønn daglig leder</t>
  </si>
  <si>
    <t>Fakturerbar tid per rørleggere i hel stilling</t>
  </si>
  <si>
    <t>Fakturerbar tid daglig leder</t>
  </si>
  <si>
    <t>timer</t>
  </si>
  <si>
    <t>Arbeidsgiveravgift</t>
  </si>
  <si>
    <t>Fakturerbare timer 12 rørleggere</t>
  </si>
  <si>
    <t>I alt</t>
  </si>
  <si>
    <t>Beløp som  skal innfaktureres</t>
  </si>
  <si>
    <t>Lønn 12 rørleggere</t>
  </si>
  <si>
    <t>Lønn daglig leder</t>
  </si>
  <si>
    <t>Lønn  2 kontormedarbeidere i halv stilling</t>
  </si>
  <si>
    <t>Samlet lønnskostnad</t>
  </si>
  <si>
    <t xml:space="preserve"> 10 % fortjeneste</t>
  </si>
  <si>
    <t>Beløp som skal innfaktureres</t>
  </si>
  <si>
    <t>a) Timeprisen uten mva</t>
  </si>
  <si>
    <t xml:space="preserve"> + 20 % avanse</t>
  </si>
  <si>
    <t>Pris på utstyr uten merverdiavgift</t>
  </si>
  <si>
    <t xml:space="preserve"> Inntakskost utstyr levert til Guri Jensen</t>
  </si>
  <si>
    <t>Faktura til Guri Jensen</t>
  </si>
  <si>
    <t>Diverse utstyr</t>
  </si>
  <si>
    <t>Arbeid, 6 timer a kr 576</t>
  </si>
  <si>
    <t>Kjøring</t>
  </si>
  <si>
    <t>Inndata</t>
  </si>
  <si>
    <t>Antall reklamemakere</t>
  </si>
  <si>
    <t>Årslønn reklamemaker</t>
  </si>
  <si>
    <t>Diverse andre driftskostnader per år</t>
  </si>
  <si>
    <t>Fakturerbare timer per reklamemaker</t>
  </si>
  <si>
    <t>Antall fakturerbare timer per år</t>
  </si>
  <si>
    <t>Beregning av selvkost:</t>
  </si>
  <si>
    <t>Lønn reklamemakere</t>
  </si>
  <si>
    <t>Lønn kontormedarbeider</t>
  </si>
  <si>
    <t>Diverse driftskostnader</t>
  </si>
  <si>
    <t>Timesats som dekker selvkost</t>
  </si>
  <si>
    <t>Selvkost per time</t>
  </si>
  <si>
    <t xml:space="preserve"> + 20 % fortjeneste</t>
  </si>
  <si>
    <t xml:space="preserve"> Timepris som skal brukes ved fakturering til banken</t>
  </si>
  <si>
    <t>Faktura til banken for reklamefilm:</t>
  </si>
  <si>
    <t>Materiell</t>
  </si>
  <si>
    <t xml:space="preserve"> 25 % merverdiavgift</t>
  </si>
  <si>
    <t>Antall timer som vil medgå til reklamekampanje</t>
  </si>
  <si>
    <t>Tilbudt honorar</t>
  </si>
  <si>
    <t>Forutsetter at dette inkluderer mva.</t>
  </si>
  <si>
    <t>Honorar per time uten mva</t>
  </si>
  <si>
    <t>Honorar per time med merverdiavgift</t>
  </si>
  <si>
    <t>Årslønn kontormedarbeider i 30 % stilling</t>
  </si>
  <si>
    <t>- varekostnad</t>
  </si>
  <si>
    <t>Innkjøpspris per rull</t>
  </si>
  <si>
    <t>Avanse (bruttofortjeneste)</t>
  </si>
  <si>
    <r>
      <t>Antall m</t>
    </r>
    <r>
      <rPr>
        <vertAlign val="superscript"/>
        <sz val="10"/>
        <rFont val="Arial"/>
        <family val="2"/>
      </rPr>
      <t>2</t>
    </r>
    <r>
      <rPr>
        <sz val="11"/>
        <color theme="1"/>
        <rFont val="Calibri"/>
        <family val="2"/>
        <scheme val="minor"/>
      </rPr>
      <t xml:space="preserve"> per rull</t>
    </r>
  </si>
  <si>
    <t>Direkte innkjøpskostnader</t>
  </si>
  <si>
    <t>Avanse i prosent av varekostnaden</t>
  </si>
  <si>
    <t>Bruttofortjenesten i % av salgsinntektene</t>
  </si>
  <si>
    <t>Svinn</t>
  </si>
  <si>
    <t>Innkjøpspris</t>
  </si>
  <si>
    <t>Bilkostnader</t>
  </si>
  <si>
    <t>Inntakskost per rull</t>
  </si>
  <si>
    <r>
      <t>Inntakskost per m</t>
    </r>
    <r>
      <rPr>
        <vertAlign val="superscript"/>
        <sz val="10"/>
        <rFont val="Arial"/>
        <family val="2"/>
      </rPr>
      <t>2</t>
    </r>
  </si>
  <si>
    <t>Indirekte kostnader i prosent av varekostnad</t>
  </si>
  <si>
    <t>- indirekte kostnader</t>
  </si>
  <si>
    <t>+ indirekte kostnader</t>
  </si>
  <si>
    <t>Fortjeneste i prosent av selvkost</t>
  </si>
  <si>
    <t>+ merverdiavgift</t>
  </si>
  <si>
    <t>Salgsinntekt med mva.</t>
  </si>
  <si>
    <t>- varekostnaden</t>
  </si>
  <si>
    <t>Påslagstallet skal dekke</t>
  </si>
  <si>
    <t>Påslagstall</t>
  </si>
  <si>
    <t>Påslaget skal dekke</t>
  </si>
  <si>
    <t>Påslagstallet</t>
  </si>
  <si>
    <t>Toms Jernvare AS</t>
  </si>
  <si>
    <t>Møbelhuset AS</t>
  </si>
  <si>
    <t>Veikroa</t>
  </si>
  <si>
    <t>Strandgaten Pensjonat</t>
  </si>
  <si>
    <t>Salgsinntekter 2011</t>
  </si>
  <si>
    <t>Avanse (bruttofortjeneste) i kr</t>
  </si>
  <si>
    <t>bruttofortjenesteprosent på</t>
  </si>
  <si>
    <t>(jfr. eksempel i kap.7)</t>
  </si>
  <si>
    <t>tilsvarer en</t>
  </si>
  <si>
    <t xml:space="preserve"> + 76,1 % avanse</t>
  </si>
  <si>
    <t xml:space="preserve"> + 25 % mva</t>
  </si>
  <si>
    <t>Salgspris inkl.mva</t>
  </si>
  <si>
    <t>Varekostnad 2011</t>
  </si>
  <si>
    <t>Indirekte kostnader:</t>
  </si>
  <si>
    <t>Ordinære avskrivninger</t>
  </si>
  <si>
    <t>Finanskostnader</t>
  </si>
  <si>
    <t xml:space="preserve"> + indirekte kostnader</t>
  </si>
  <si>
    <t xml:space="preserve"> = selvkost</t>
  </si>
  <si>
    <t xml:space="preserve"> - selvkost</t>
  </si>
  <si>
    <t xml:space="preserve"> = fortjeneste</t>
  </si>
  <si>
    <t>Fortjeneste i %</t>
  </si>
  <si>
    <t>Beregning av salgspris etter selvkostmetoden:</t>
  </si>
  <si>
    <t xml:space="preserve"> + 70 % indirekte kostnader</t>
  </si>
  <si>
    <t>Selvkost per lås</t>
  </si>
  <si>
    <t xml:space="preserve"> + 3,6 % fortjeneste</t>
  </si>
  <si>
    <t xml:space="preserve"> = netto salgspris</t>
  </si>
  <si>
    <t>Salgspris inkl. mva</t>
  </si>
  <si>
    <t>b) Når prisen er gitt, er det vanlig å sette opp en bidragskalkyle:</t>
  </si>
  <si>
    <t>Dekningsbidrag</t>
  </si>
  <si>
    <t>Bruttofortjenesteprosent</t>
  </si>
  <si>
    <t>100 arbeidstimer a kr 637</t>
  </si>
  <si>
    <t>Materialer</t>
  </si>
  <si>
    <t>Arbeidstid</t>
  </si>
  <si>
    <t>Timelønn</t>
  </si>
  <si>
    <t>Selvkostkalkyle</t>
  </si>
  <si>
    <t>Direkte lønn inklusiv sosiale kostnader</t>
  </si>
  <si>
    <t>Salgspris uten merverdiavgift</t>
  </si>
  <si>
    <t xml:space="preserve"> +  20 % merverdiavgift</t>
  </si>
  <si>
    <t>Salgspris inklusiv merverdiavgift</t>
  </si>
  <si>
    <t>Kontorkostnader</t>
  </si>
  <si>
    <t>a) og d)</t>
  </si>
  <si>
    <t>g)</t>
  </si>
  <si>
    <t>Antall m2 per rull uten svinn</t>
  </si>
  <si>
    <t>Antall m2 per rull, svinn medregnet</t>
  </si>
  <si>
    <t>Inntakskost per m2</t>
  </si>
  <si>
    <t>Salgspris per m2 (med 5 % svinn)</t>
  </si>
  <si>
    <t>Pensjonatet har en konkurransebasert prissetting</t>
  </si>
  <si>
    <t>Beregning av den direkte lønnskostnaden:</t>
  </si>
  <si>
    <t>Arbeidsgodtgjørelse til Sonja Frantzen</t>
  </si>
  <si>
    <t xml:space="preserve"> + 40 % sosiale kostnader</t>
  </si>
  <si>
    <t>Direkte lønnskostnad per ring</t>
  </si>
  <si>
    <t>(a)</t>
  </si>
  <si>
    <t>Gj.sn.årslønn øvrige rørleggere, inkl. ferielønn og overtid</t>
  </si>
  <si>
    <t>Årslønn inkl.ferielønn kontormedarbeiderstilling</t>
  </si>
  <si>
    <t>Antall ansatte regnskapsmedarbeidere</t>
  </si>
  <si>
    <t>Altenativ 1. Bedriften kalkulerer med samme bruttofortjeneste (avanse) som året før.</t>
  </si>
  <si>
    <t>Inndata (oppgitte tall):</t>
  </si>
  <si>
    <t>Sum driftskostnader</t>
  </si>
  <si>
    <t>Driftsresultat</t>
  </si>
  <si>
    <t xml:space="preserve"> + renteinntekter</t>
  </si>
  <si>
    <t xml:space="preserve"> - rentekostnader</t>
  </si>
  <si>
    <t>Resultat før skattekostnad</t>
  </si>
  <si>
    <t xml:space="preserve"> - skattekostnad</t>
  </si>
  <si>
    <t>Årsresultat</t>
  </si>
  <si>
    <t>Beregninger (utdata):</t>
  </si>
  <si>
    <t>Utdata (beregninger):</t>
  </si>
  <si>
    <t>Kjøkkenting AS</t>
  </si>
  <si>
    <t>Løsningsforslag oppgave 8.1</t>
  </si>
  <si>
    <r>
      <rPr>
        <b/>
        <sz val="14"/>
        <color theme="1"/>
        <rFont val="Calibri"/>
        <family val="2"/>
        <scheme val="minor"/>
      </rPr>
      <t>Løsningsforslag oppgave 8.2</t>
    </r>
  </si>
  <si>
    <t>Løsningsforslag oppgave 8.3</t>
  </si>
  <si>
    <t>Løsningsforslag oppgave 8.4</t>
  </si>
  <si>
    <t>Karinas Klær AS</t>
  </si>
  <si>
    <t>Løsningsforslag oppgave 8.5</t>
  </si>
  <si>
    <t>Løsningsforslag oppgave 8.6</t>
  </si>
  <si>
    <t>Fanny Frantzen Isenkram</t>
  </si>
  <si>
    <t xml:space="preserve">Løsningsforslag oppgave 8.7 </t>
  </si>
  <si>
    <t>Maler'n AS</t>
  </si>
  <si>
    <t xml:space="preserve">Løsningsforslag oppgave 8.8 </t>
  </si>
  <si>
    <t>Løsningsforslag oppgave 8.9</t>
  </si>
  <si>
    <t>Løsningsforslag oppgave 8.10</t>
  </si>
  <si>
    <t>Løsningsforslag oppgave 8.11</t>
  </si>
  <si>
    <t>2.  Selvkostmetoden. Beregning av tilleggssatser for indirekte kostnader og fortjeneste</t>
  </si>
  <si>
    <t>Zapo AS</t>
  </si>
  <si>
    <t>Løsningsforslag oppgave 8.12</t>
  </si>
  <si>
    <t>Løsningsforslag oppgave 8.13</t>
  </si>
  <si>
    <t>Løsningsforslag oppgave 8.14</t>
  </si>
  <si>
    <t>Regnskapsføreren AS</t>
  </si>
  <si>
    <t xml:space="preserve"> Løsningsforslag oppgave 8.15</t>
  </si>
  <si>
    <t>Rørvik Rør AS</t>
  </si>
  <si>
    <t xml:space="preserve">Løsningsforslag oppgave 8.16 </t>
  </si>
  <si>
    <t>Blikk AS</t>
  </si>
  <si>
    <t>Løsningsforslag oppgave  8.17</t>
  </si>
  <si>
    <t>Gullart ANS</t>
  </si>
  <si>
    <t>Løsningsforslag oppgave 8.18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</si>
</sst>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kr&quot;\ #,##0;[Red]&quot;kr&quot;\ \-#,##0"/>
    <numFmt numFmtId="44" formatCode="_ &quot;kr&quot;\ * #,##0.00_ ;_ &quot;kr&quot;\ * \-#,##0.00_ ;_ &quot;kr&quot;\ * &quot;-&quot;??_ ;_ @_ "/>
    <numFmt numFmtId="164" formatCode="0.0\ %"/>
    <numFmt numFmtId="165" formatCode="_(&quot;kr&quot;\ * #,##0.00_);_(&quot;kr&quot;\ * \(#,##0.00\);_(&quot;kr&quot;\ * &quot;-&quot;??_);_(@_)"/>
    <numFmt numFmtId="166" formatCode="_(&quot;kr&quot;\ * #,##0_);_(&quot;kr&quot;\ * \(#,##0\);_(&quot;kr&quot;\ * &quot;-&quot;_);_(@_)"/>
    <numFmt numFmtId="167" formatCode="_ &quot;kr&quot;\ * #,##0_ ;_ &quot;kr&quot;\ * \-#,##0_ ;_ &quot;kr&quot;\ * &quot;-&quot;??_ ;_ @_ "/>
    <numFmt numFmtId="168" formatCode="_(&quot;kr&quot;\ * #,##0.00_);_(&quot;kr&quot;\ * \(#,##0.00\);_(&quot;kr&quot;\ *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0"/>
      <name val="Arial"/>
      <family val="2"/>
    </font>
    <font>
      <sz val="10"/>
      <color rgb="FF000000"/>
      <name val="Arial"/>
      <family val="2"/>
    </font>
    <font>
      <sz val="10"/>
      <name val="Arial"/>
      <family val="2"/>
    </font>
    <font>
      <vertAlign val="superscript"/>
      <sz val="10"/>
      <name val="Arial"/>
      <family val="2"/>
    </font>
    <font>
      <b/>
      <sz val="12"/>
      <color theme="1"/>
      <name val="Calibri"/>
      <family val="2"/>
      <scheme val="minor"/>
    </font>
    <font>
      <i/>
      <sz val="10"/>
      <name val="Arial"/>
      <family val="2"/>
    </font>
    <font>
      <b/>
      <sz val="14"/>
      <color theme="1"/>
      <name val="Calibri"/>
      <family val="2"/>
      <scheme val="minor"/>
    </font>
    <font>
      <b/>
      <sz val="14"/>
      <name val="Arial"/>
      <family val="2"/>
    </font>
    <font>
      <sz val="11"/>
      <name val="Calibri"/>
      <family val="2"/>
      <scheme val="minor"/>
    </font>
    <font>
      <b/>
      <sz val="14"/>
      <name val="Calibri"/>
      <family val="2"/>
      <scheme val="minor"/>
    </font>
    <font>
      <sz val="12"/>
      <color theme="1"/>
      <name val="Calibri"/>
      <family val="2"/>
      <scheme val="minor"/>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right/>
      <top style="double">
        <color indexed="64"/>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44" fontId="0" fillId="0" borderId="0" xfId="1" applyFont="1"/>
    <xf numFmtId="9" fontId="0" fillId="0" borderId="0" xfId="0" applyNumberFormat="1"/>
    <xf numFmtId="44" fontId="0" fillId="0" borderId="1" xfId="1" applyFont="1" applyBorder="1"/>
    <xf numFmtId="44" fontId="0" fillId="0" borderId="0" xfId="0" applyNumberFormat="1"/>
    <xf numFmtId="44" fontId="0" fillId="0" borderId="2" xfId="0" applyNumberFormat="1" applyBorder="1"/>
    <xf numFmtId="44" fontId="0" fillId="0" borderId="0" xfId="0" applyNumberFormat="1" applyBorder="1"/>
    <xf numFmtId="44" fontId="0" fillId="0" borderId="3" xfId="0" applyNumberFormat="1" applyBorder="1"/>
    <xf numFmtId="44" fontId="0" fillId="0" borderId="1" xfId="0" applyNumberFormat="1" applyBorder="1"/>
    <xf numFmtId="44" fontId="2" fillId="0" borderId="0" xfId="0" applyNumberFormat="1" applyFont="1" applyBorder="1"/>
    <xf numFmtId="0" fontId="0" fillId="0" borderId="0" xfId="0" applyBorder="1"/>
    <xf numFmtId="44" fontId="2" fillId="0" borderId="0" xfId="0" applyNumberFormat="1" applyFont="1"/>
    <xf numFmtId="0" fontId="0" fillId="0" borderId="0" xfId="0" applyFill="1" applyBorder="1"/>
    <xf numFmtId="44" fontId="2" fillId="0" borderId="2" xfId="0" applyNumberFormat="1" applyFont="1" applyBorder="1"/>
    <xf numFmtId="44" fontId="0" fillId="0" borderId="2" xfId="1" applyFont="1" applyBorder="1"/>
    <xf numFmtId="9" fontId="2" fillId="0" borderId="0" xfId="0" applyNumberFormat="1" applyFont="1"/>
    <xf numFmtId="0" fontId="2" fillId="0" borderId="0" xfId="0" applyFont="1"/>
    <xf numFmtId="0" fontId="0" fillId="0" borderId="0" xfId="0" applyFont="1"/>
    <xf numFmtId="44" fontId="0" fillId="0" borderId="4" xfId="0" applyNumberFormat="1" applyBorder="1"/>
    <xf numFmtId="9" fontId="2" fillId="0" borderId="3" xfId="2" applyFont="1" applyBorder="1"/>
    <xf numFmtId="44" fontId="0" fillId="0" borderId="3" xfId="1" applyFont="1" applyBorder="1"/>
    <xf numFmtId="0" fontId="0" fillId="0" borderId="0" xfId="0" applyAlignment="1">
      <alignment wrapText="1"/>
    </xf>
    <xf numFmtId="44" fontId="0" fillId="0" borderId="4" xfId="1" applyFont="1" applyBorder="1"/>
    <xf numFmtId="164" fontId="0" fillId="0" borderId="3" xfId="2" applyNumberFormat="1" applyFont="1" applyBorder="1"/>
    <xf numFmtId="3" fontId="0" fillId="0" borderId="0" xfId="0" applyNumberFormat="1"/>
    <xf numFmtId="3" fontId="0" fillId="0" borderId="1" xfId="0" applyNumberFormat="1" applyBorder="1"/>
    <xf numFmtId="3" fontId="0" fillId="0" borderId="4" xfId="0" applyNumberFormat="1" applyBorder="1"/>
    <xf numFmtId="3" fontId="0" fillId="0" borderId="0" xfId="0" applyNumberFormat="1" applyBorder="1"/>
    <xf numFmtId="3" fontId="0" fillId="0" borderId="2" xfId="0" applyNumberFormat="1" applyBorder="1"/>
    <xf numFmtId="6" fontId="0" fillId="0" borderId="0" xfId="0" applyNumberFormat="1"/>
    <xf numFmtId="0" fontId="4" fillId="0" borderId="0" xfId="0" quotePrefix="1" applyFont="1" applyAlignment="1">
      <alignment horizontal="left"/>
    </xf>
    <xf numFmtId="0" fontId="0" fillId="0" borderId="0" xfId="0" applyAlignment="1">
      <alignment horizontal="center"/>
    </xf>
    <xf numFmtId="0" fontId="4" fillId="0" borderId="0" xfId="0" applyFont="1"/>
    <xf numFmtId="165" fontId="0" fillId="0" borderId="0" xfId="0" applyNumberFormat="1"/>
    <xf numFmtId="165" fontId="0" fillId="0" borderId="1" xfId="0" applyNumberFormat="1" applyBorder="1"/>
    <xf numFmtId="0" fontId="0" fillId="0" borderId="0" xfId="0" quotePrefix="1" applyAlignment="1">
      <alignment horizontal="center"/>
    </xf>
    <xf numFmtId="165" fontId="0" fillId="0" borderId="2" xfId="0" applyNumberFormat="1" applyBorder="1"/>
    <xf numFmtId="166" fontId="0" fillId="0" borderId="0" xfId="0" applyNumberFormat="1"/>
    <xf numFmtId="166" fontId="0" fillId="0" borderId="1" xfId="0" applyNumberFormat="1" applyBorder="1"/>
    <xf numFmtId="166" fontId="0" fillId="0" borderId="2" xfId="0" applyNumberFormat="1" applyBorder="1"/>
    <xf numFmtId="0" fontId="4" fillId="0" borderId="0" xfId="0" quotePrefix="1" applyFont="1" applyAlignment="1">
      <alignment horizontal="center"/>
    </xf>
    <xf numFmtId="0" fontId="4" fillId="0" borderId="0" xfId="0" applyFont="1" applyAlignment="1">
      <alignment horizontal="center"/>
    </xf>
    <xf numFmtId="166" fontId="0" fillId="0" borderId="3" xfId="0" applyNumberFormat="1" applyBorder="1"/>
    <xf numFmtId="0" fontId="5" fillId="0" borderId="0" xfId="0" applyFont="1" applyAlignment="1">
      <alignment horizontal="left" vertical="center" readingOrder="1"/>
    </xf>
    <xf numFmtId="166" fontId="0" fillId="0" borderId="4" xfId="0" applyNumberFormat="1" applyBorder="1"/>
    <xf numFmtId="164" fontId="0" fillId="0" borderId="2" xfId="0" applyNumberFormat="1" applyBorder="1"/>
    <xf numFmtId="0" fontId="0" fillId="0" borderId="0" xfId="0" applyAlignment="1">
      <alignment horizontal="right"/>
    </xf>
    <xf numFmtId="0" fontId="0" fillId="0" borderId="0" xfId="0" quotePrefix="1" applyAlignment="1">
      <alignment horizontal="right"/>
    </xf>
    <xf numFmtId="164" fontId="0" fillId="0" borderId="3" xfId="0" applyNumberFormat="1" applyBorder="1"/>
    <xf numFmtId="44" fontId="0" fillId="0" borderId="5" xfId="0" applyNumberFormat="1" applyBorder="1"/>
    <xf numFmtId="165" fontId="0" fillId="0" borderId="4" xfId="0" applyNumberFormat="1" applyBorder="1"/>
    <xf numFmtId="0" fontId="0" fillId="0" borderId="0" xfId="0" quotePrefix="1" applyAlignment="1">
      <alignment horizontal="left"/>
    </xf>
    <xf numFmtId="0" fontId="0" fillId="0" borderId="0" xfId="0" quotePrefix="1"/>
    <xf numFmtId="165" fontId="0" fillId="0" borderId="3" xfId="0" applyNumberFormat="1" applyBorder="1"/>
    <xf numFmtId="167" fontId="0" fillId="0" borderId="0" xfId="0" applyNumberFormat="1"/>
    <xf numFmtId="167" fontId="0" fillId="0" borderId="1" xfId="0" applyNumberFormat="1" applyBorder="1"/>
    <xf numFmtId="167" fontId="0" fillId="0" borderId="2" xfId="0" applyNumberFormat="1" applyBorder="1"/>
    <xf numFmtId="10" fontId="0" fillId="0" borderId="0" xfId="0" applyNumberFormat="1"/>
    <xf numFmtId="0" fontId="0" fillId="0" borderId="4" xfId="0" applyBorder="1"/>
    <xf numFmtId="1" fontId="0" fillId="0" borderId="3" xfId="0" applyNumberFormat="1" applyBorder="1"/>
    <xf numFmtId="1" fontId="0" fillId="0" borderId="0" xfId="0" applyNumberFormat="1" applyBorder="1"/>
    <xf numFmtId="167" fontId="0" fillId="0" borderId="0" xfId="1" applyNumberFormat="1" applyFont="1"/>
    <xf numFmtId="167" fontId="0" fillId="0" borderId="1" xfId="1" applyNumberFormat="1" applyFont="1" applyBorder="1"/>
    <xf numFmtId="167" fontId="0" fillId="0" borderId="2" xfId="1" applyNumberFormat="1" applyFont="1" applyBorder="1"/>
    <xf numFmtId="0" fontId="4" fillId="0" borderId="0" xfId="0" applyFont="1" applyAlignment="1">
      <alignment horizontal="right"/>
    </xf>
    <xf numFmtId="164" fontId="0" fillId="0" borderId="0" xfId="0" applyNumberFormat="1"/>
    <xf numFmtId="9" fontId="0" fillId="0" borderId="6" xfId="2" applyFont="1" applyBorder="1"/>
    <xf numFmtId="165" fontId="0" fillId="0" borderId="0" xfId="0" applyNumberFormat="1" applyBorder="1"/>
    <xf numFmtId="9" fontId="0" fillId="0" borderId="0" xfId="0" applyNumberFormat="1" applyAlignment="1">
      <alignment horizontal="right"/>
    </xf>
    <xf numFmtId="166" fontId="0" fillId="0" borderId="5" xfId="0" applyNumberFormat="1" applyBorder="1"/>
    <xf numFmtId="0" fontId="0" fillId="0" borderId="3" xfId="0" applyBorder="1"/>
    <xf numFmtId="164" fontId="0" fillId="0" borderId="0" xfId="2" applyNumberFormat="1" applyFont="1"/>
    <xf numFmtId="167" fontId="0" fillId="0" borderId="4" xfId="1" applyNumberFormat="1" applyFont="1" applyBorder="1"/>
    <xf numFmtId="3" fontId="0" fillId="0" borderId="5" xfId="0" applyNumberFormat="1" applyBorder="1"/>
    <xf numFmtId="167" fontId="0" fillId="0" borderId="0" xfId="1" applyNumberFormat="1" applyFont="1" applyBorder="1"/>
    <xf numFmtId="9" fontId="0" fillId="0" borderId="0" xfId="1" applyNumberFormat="1" applyFont="1" applyBorder="1"/>
    <xf numFmtId="2" fontId="0" fillId="0" borderId="3" xfId="0" applyNumberFormat="1" applyBorder="1"/>
    <xf numFmtId="44" fontId="0" fillId="0" borderId="0" xfId="1" applyNumberFormat="1" applyFont="1"/>
    <xf numFmtId="44" fontId="0" fillId="0" borderId="1" xfId="1" applyNumberFormat="1" applyFont="1" applyBorder="1"/>
    <xf numFmtId="44" fontId="0" fillId="0" borderId="2" xfId="1" applyNumberFormat="1" applyFont="1" applyBorder="1"/>
    <xf numFmtId="0" fontId="3" fillId="0" borderId="0" xfId="0" applyFont="1"/>
    <xf numFmtId="44" fontId="0" fillId="0" borderId="0" xfId="1" applyFont="1" applyBorder="1"/>
    <xf numFmtId="44" fontId="0" fillId="0" borderId="5" xfId="1" applyFont="1" applyBorder="1"/>
    <xf numFmtId="0" fontId="0" fillId="0" borderId="0" xfId="0" applyAlignment="1">
      <alignment horizontal="left"/>
    </xf>
    <xf numFmtId="4" fontId="0" fillId="0" borderId="3" xfId="0" applyNumberFormat="1" applyBorder="1"/>
    <xf numFmtId="0" fontId="2" fillId="0" borderId="0" xfId="0" applyFont="1" applyAlignment="1">
      <alignment horizontal="center"/>
    </xf>
    <xf numFmtId="164" fontId="0" fillId="0" borderId="0" xfId="0" applyNumberFormat="1" applyBorder="1"/>
    <xf numFmtId="0" fontId="4" fillId="0" borderId="0" xfId="0" applyFont="1" applyBorder="1" applyAlignment="1">
      <alignment horizontal="center"/>
    </xf>
    <xf numFmtId="0" fontId="0" fillId="0" borderId="0" xfId="0" applyBorder="1" applyAlignment="1">
      <alignment horizontal="right"/>
    </xf>
    <xf numFmtId="0" fontId="0" fillId="0" borderId="0" xfId="0" applyBorder="1" applyAlignment="1">
      <alignment horizontal="center"/>
    </xf>
    <xf numFmtId="17" fontId="2" fillId="0" borderId="0" xfId="0" applyNumberFormat="1" applyFont="1"/>
    <xf numFmtId="0" fontId="3" fillId="0" borderId="0" xfId="0" applyFont="1" applyAlignment="1">
      <alignment horizontal="left"/>
    </xf>
    <xf numFmtId="167" fontId="4" fillId="0" borderId="0" xfId="1" applyNumberFormat="1" applyFont="1"/>
    <xf numFmtId="167" fontId="6" fillId="0" borderId="0" xfId="1" applyNumberFormat="1" applyFont="1"/>
    <xf numFmtId="0" fontId="9" fillId="0" borderId="0" xfId="0" applyFont="1"/>
    <xf numFmtId="0" fontId="2" fillId="0" borderId="0" xfId="0" applyFont="1" applyAlignment="1">
      <alignment horizontal="left"/>
    </xf>
    <xf numFmtId="0" fontId="0" fillId="0" borderId="0" xfId="0" quotePrefix="1" applyAlignment="1">
      <alignment horizontal="left"/>
    </xf>
    <xf numFmtId="0" fontId="10" fillId="0" borderId="0" xfId="0" applyFont="1"/>
    <xf numFmtId="0" fontId="2" fillId="0" borderId="0" xfId="0" quotePrefix="1" applyFont="1" applyAlignment="1">
      <alignment horizontal="left"/>
    </xf>
    <xf numFmtId="0" fontId="10" fillId="0" borderId="0" xfId="0" quotePrefix="1" applyFont="1" applyAlignment="1">
      <alignment horizontal="left"/>
    </xf>
    <xf numFmtId="0" fontId="11" fillId="0" borderId="0" xfId="0" quotePrefix="1" applyFont="1" applyAlignment="1">
      <alignment horizontal="left"/>
    </xf>
    <xf numFmtId="168" fontId="0" fillId="0" borderId="0" xfId="0" applyNumberFormat="1" applyAlignment="1"/>
    <xf numFmtId="4" fontId="0" fillId="0" borderId="0" xfId="0" applyNumberFormat="1" applyAlignment="1"/>
    <xf numFmtId="44" fontId="0" fillId="0" borderId="3" xfId="0" applyNumberFormat="1" applyBorder="1" applyAlignment="1"/>
    <xf numFmtId="0" fontId="12" fillId="0" borderId="0" xfId="0" applyFont="1"/>
    <xf numFmtId="0" fontId="12" fillId="0" borderId="0" xfId="0" quotePrefix="1" applyFont="1" applyAlignment="1">
      <alignment horizontal="left"/>
    </xf>
    <xf numFmtId="0" fontId="13" fillId="0" borderId="0" xfId="0" quotePrefix="1" applyFont="1" applyAlignment="1">
      <alignment horizontal="left"/>
    </xf>
    <xf numFmtId="16" fontId="13" fillId="0" borderId="0" xfId="0" quotePrefix="1" applyNumberFormat="1" applyFont="1" applyAlignment="1">
      <alignment horizontal="center"/>
    </xf>
    <xf numFmtId="0" fontId="2" fillId="0" borderId="0" xfId="0" quotePrefix="1" applyFont="1" applyAlignment="1">
      <alignment horizontal="left"/>
    </xf>
    <xf numFmtId="0" fontId="2" fillId="0" borderId="0" xfId="0" applyFont="1" applyAlignment="1">
      <alignment horizontal="left"/>
    </xf>
    <xf numFmtId="0" fontId="0" fillId="0" borderId="0" xfId="0" quotePrefix="1" applyAlignment="1">
      <alignment horizontal="left"/>
    </xf>
    <xf numFmtId="0" fontId="0" fillId="0" borderId="0" xfId="0" applyAlignment="1">
      <alignment horizontal="left"/>
    </xf>
    <xf numFmtId="0" fontId="8" fillId="0" borderId="0" xfId="0" quotePrefix="1" applyFont="1" applyAlignment="1">
      <alignment horizontal="left"/>
    </xf>
    <xf numFmtId="0" fontId="14" fillId="0" borderId="0" xfId="0" quotePrefix="1" applyFont="1" applyAlignment="1">
      <alignment horizontal="left"/>
    </xf>
    <xf numFmtId="0" fontId="6" fillId="0" borderId="0" xfId="0" quotePrefix="1" applyFont="1" applyAlignment="1">
      <alignment horizontal="left"/>
    </xf>
    <xf numFmtId="17" fontId="0" fillId="0" borderId="0" xfId="0" applyNumberFormat="1" applyFont="1"/>
    <xf numFmtId="17" fontId="10" fillId="0" borderId="0" xfId="0" quotePrefix="1" applyNumberFormat="1" applyFont="1" applyAlignment="1">
      <alignment horizontal="left"/>
    </xf>
  </cellXfs>
  <cellStyles count="3">
    <cellStyle name="Normal" xfId="0" builtinId="0"/>
    <cellStyle name="Prosent" xfId="2" builtinI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447674</xdr:colOff>
      <xdr:row>3</xdr:row>
      <xdr:rowOff>114300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57524" cy="685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26</xdr:row>
      <xdr:rowOff>152401</xdr:rowOff>
    </xdr:from>
    <xdr:to>
      <xdr:col>4</xdr:col>
      <xdr:colOff>428625</xdr:colOff>
      <xdr:row>29</xdr:row>
      <xdr:rowOff>47625</xdr:rowOff>
    </xdr:to>
    <xdr:sp macro="" textlink="">
      <xdr:nvSpPr>
        <xdr:cNvPr id="2" name="Text Box 1"/>
        <xdr:cNvSpPr txBox="1">
          <a:spLocks noChangeArrowheads="1"/>
        </xdr:cNvSpPr>
      </xdr:nvSpPr>
      <xdr:spPr bwMode="auto">
        <a:xfrm>
          <a:off x="57150" y="4010026"/>
          <a:ext cx="3981450" cy="47624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22860" rIns="0" bIns="0" anchor="t" upright="1"/>
        <a:lstStyle/>
        <a:p>
          <a:pPr algn="l" rtl="0">
            <a:defRPr sz="1000"/>
          </a:pPr>
          <a:r>
            <a:rPr lang="nb-NO" sz="1000" b="0" i="0" u="none" strike="noStrike" baseline="0">
              <a:solidFill>
                <a:srgbClr val="000000"/>
              </a:solidFill>
              <a:latin typeface="Arial"/>
              <a:cs typeface="Arial"/>
            </a:rPr>
            <a:t>c) Det er lønnsomt å selge grillene for kr 1 675. Han får et </a:t>
          </a:r>
          <a:br>
            <a:rPr lang="nb-NO" sz="1000" b="0" i="0" u="none" strike="noStrike" baseline="0">
              <a:solidFill>
                <a:srgbClr val="000000"/>
              </a:solidFill>
              <a:latin typeface="Arial"/>
              <a:cs typeface="Arial"/>
            </a:rPr>
          </a:br>
          <a:r>
            <a:rPr lang="nb-NO" sz="1000" b="0" i="0" u="none" strike="noStrike" baseline="0">
              <a:solidFill>
                <a:srgbClr val="000000"/>
              </a:solidFill>
              <a:latin typeface="Arial"/>
              <a:cs typeface="Arial"/>
            </a:rPr>
            <a:t>    dekningsbidrag på kr 470 per stk.</a:t>
          </a:r>
        </a:p>
        <a:p>
          <a:pPr algn="l" rtl="0">
            <a:defRPr sz="1000"/>
          </a:pPr>
          <a:endParaRPr lang="nb-NO" sz="1000" b="0" i="0" u="none" strike="noStrike" baseline="0">
            <a:solidFill>
              <a:srgbClr val="000000"/>
            </a:solidFill>
            <a:latin typeface="Arial"/>
            <a:cs typeface="Arial"/>
          </a:endParaRPr>
        </a:p>
      </xdr:txBody>
    </xdr:sp>
    <xdr:clientData/>
  </xdr:twoCellAnchor>
  <xdr:twoCellAnchor>
    <xdr:from>
      <xdr:col>0</xdr:col>
      <xdr:colOff>257175</xdr:colOff>
      <xdr:row>35</xdr:row>
      <xdr:rowOff>95250</xdr:rowOff>
    </xdr:from>
    <xdr:to>
      <xdr:col>3</xdr:col>
      <xdr:colOff>609600</xdr:colOff>
      <xdr:row>40</xdr:row>
      <xdr:rowOff>28576</xdr:rowOff>
    </xdr:to>
    <xdr:sp macro="" textlink="">
      <xdr:nvSpPr>
        <xdr:cNvPr id="3" name="TekstSylinder 2"/>
        <xdr:cNvSpPr txBox="1"/>
      </xdr:nvSpPr>
      <xdr:spPr>
        <a:xfrm>
          <a:off x="257175" y="5695950"/>
          <a:ext cx="3200400" cy="885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0" i="0" u="none" strike="noStrike">
              <a:solidFill>
                <a:schemeClr val="dk1"/>
              </a:solidFill>
              <a:effectLst/>
              <a:latin typeface="+mn-lt"/>
              <a:ea typeface="+mn-ea"/>
              <a:cs typeface="+mn-cs"/>
            </a:rPr>
            <a:t>Tom må oppnå en pris som tilsvarer det han selv har gitt for grillene</a:t>
          </a:r>
          <a:r>
            <a:rPr lang="nb-NO"/>
            <a:t> </a:t>
          </a:r>
          <a:r>
            <a:rPr lang="nb-NO" sz="1100" b="0" i="0" u="none" strike="noStrike">
              <a:solidFill>
                <a:schemeClr val="dk1"/>
              </a:solidFill>
              <a:effectLst/>
              <a:latin typeface="+mn-lt"/>
              <a:ea typeface="+mn-ea"/>
              <a:cs typeface="+mn-cs"/>
            </a:rPr>
            <a:t>dersom han ikke skal tape penger på salget.</a:t>
          </a:r>
          <a:r>
            <a:rPr lang="nb-NO"/>
            <a:t> </a:t>
          </a:r>
          <a:r>
            <a:rPr lang="nb-NO" sz="1100" b="0" i="0" u="none" strike="noStrike">
              <a:solidFill>
                <a:schemeClr val="dk1"/>
              </a:solidFill>
              <a:effectLst/>
              <a:latin typeface="+mn-lt"/>
              <a:ea typeface="+mn-ea"/>
              <a:cs typeface="+mn-cs"/>
            </a:rPr>
            <a:t>Inntakskost per grill er kr 870. </a:t>
          </a:r>
          <a:r>
            <a:rPr lang="nb-NO"/>
            <a:t> </a:t>
          </a:r>
          <a:r>
            <a:rPr lang="nb-NO" sz="1100" b="0" i="0" u="none" strike="noStrike">
              <a:solidFill>
                <a:schemeClr val="dk1"/>
              </a:solidFill>
              <a:effectLst/>
              <a:latin typeface="+mn-lt"/>
              <a:ea typeface="+mn-ea"/>
              <a:cs typeface="+mn-cs"/>
            </a:rPr>
            <a:t>Laveste pris</a:t>
          </a:r>
          <a:r>
            <a:rPr lang="nb-NO" sz="1100" b="0" i="0" u="none" strike="noStrike" baseline="0">
              <a:solidFill>
                <a:schemeClr val="dk1"/>
              </a:solidFill>
              <a:effectLst/>
              <a:latin typeface="+mn-lt"/>
              <a:ea typeface="+mn-ea"/>
              <a:cs typeface="+mn-cs"/>
            </a:rPr>
            <a:t> med mva er kr 1 088</a:t>
          </a:r>
          <a:endParaRPr lang="nb-NO" sz="1100"/>
        </a:p>
      </xdr:txBody>
    </xdr:sp>
    <xdr:clientData/>
  </xdr:twoCellAnchor>
  <xdr:twoCellAnchor editAs="oneCell">
    <xdr:from>
      <xdr:col>0</xdr:col>
      <xdr:colOff>0</xdr:colOff>
      <xdr:row>0</xdr:row>
      <xdr:rowOff>0</xdr:rowOff>
    </xdr:from>
    <xdr:to>
      <xdr:col>3</xdr:col>
      <xdr:colOff>571499</xdr:colOff>
      <xdr:row>3</xdr:row>
      <xdr:rowOff>114300</xdr:rowOff>
    </xdr:to>
    <xdr:pic>
      <xdr:nvPicPr>
        <xdr:cNvPr id="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409949" cy="685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1009649</xdr:colOff>
      <xdr:row>3</xdr:row>
      <xdr:rowOff>114300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409949" cy="685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7</xdr:row>
      <xdr:rowOff>161925</xdr:rowOff>
    </xdr:from>
    <xdr:to>
      <xdr:col>7</xdr:col>
      <xdr:colOff>504825</xdr:colOff>
      <xdr:row>16</xdr:row>
      <xdr:rowOff>114299</xdr:rowOff>
    </xdr:to>
    <xdr:sp macro="" textlink="">
      <xdr:nvSpPr>
        <xdr:cNvPr id="2" name="TekstSylinder 1"/>
        <xdr:cNvSpPr txBox="1"/>
      </xdr:nvSpPr>
      <xdr:spPr>
        <a:xfrm>
          <a:off x="66675" y="1524000"/>
          <a:ext cx="7172325" cy="1676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Oppgave</a:t>
          </a:r>
          <a:r>
            <a:rPr lang="nb-NO" sz="1100" baseline="0"/>
            <a:t> a)</a:t>
          </a:r>
          <a:r>
            <a:rPr lang="nb-NO" sz="1100"/>
            <a:t> går ut på å beregne salgspris for en ny fingeravtrykkslås med utgangspunkt i regnskapet for 2011.  Følgende fremgangsmåter kan være aktuelle:</a:t>
          </a:r>
        </a:p>
        <a:p>
          <a:endParaRPr lang="nb-NO" sz="1100"/>
        </a:p>
        <a:p>
          <a:r>
            <a:rPr lang="nb-NO" sz="1100" b="1"/>
            <a:t>Alternativ 1</a:t>
          </a:r>
          <a:r>
            <a:rPr lang="nb-NO" sz="1100" b="1" baseline="0"/>
            <a:t> </a:t>
          </a:r>
          <a:r>
            <a:rPr lang="nb-NO" sz="1100"/>
            <a:t>(enklest).</a:t>
          </a:r>
          <a:r>
            <a:rPr lang="nb-NO" sz="1100" baseline="0"/>
            <a:t> Vi forutsetter at bedriften ønsker å oppnå like høy avanse (bruttofortjeneste) på dette produktet som den oppnådde i gjennomsnitt for alt salg  i 2011.</a:t>
          </a:r>
        </a:p>
        <a:p>
          <a:endParaRPr lang="nb-NO" sz="1100" baseline="0"/>
        </a:p>
        <a:p>
          <a:r>
            <a:rPr lang="nb-NO" sz="1100" b="1" baseline="0"/>
            <a:t>Alternativ 2. </a:t>
          </a:r>
          <a:r>
            <a:rPr lang="nb-NO" sz="1100" baseline="0"/>
            <a:t>Vi kalkulerer etter selvkostmetoden. Tilleggssatsene finnes med utgangspunkt i regnskapet. Vi får samme svar som under alternativ 1 (siden vi i begge tilfeller tar utgangspunkt i fjorårets regnskap og skal frem til en pris som inkluderer selvkost og fortjeneste), men beregningene blir mer omfattende.</a:t>
          </a:r>
        </a:p>
        <a:p>
          <a:endParaRPr lang="nb-NO" sz="1100" baseline="0"/>
        </a:p>
        <a:p>
          <a:endParaRPr lang="nb-NO" sz="1100" baseline="0"/>
        </a:p>
      </xdr:txBody>
    </xdr:sp>
    <xdr:clientData/>
  </xdr:twoCellAnchor>
  <xdr:twoCellAnchor>
    <xdr:from>
      <xdr:col>0</xdr:col>
      <xdr:colOff>19050</xdr:colOff>
      <xdr:row>62</xdr:row>
      <xdr:rowOff>171451</xdr:rowOff>
    </xdr:from>
    <xdr:to>
      <xdr:col>7</xdr:col>
      <xdr:colOff>238125</xdr:colOff>
      <xdr:row>69</xdr:row>
      <xdr:rowOff>123826</xdr:rowOff>
    </xdr:to>
    <xdr:sp macro="" textlink="">
      <xdr:nvSpPr>
        <xdr:cNvPr id="3" name="TekstSylinder 2"/>
        <xdr:cNvSpPr txBox="1"/>
      </xdr:nvSpPr>
      <xdr:spPr>
        <a:xfrm>
          <a:off x="19050" y="9725026"/>
          <a:ext cx="6953250"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Disse fremgangsmåtene gir samme resultat. Bedriften Zapo AS ble presentert</a:t>
          </a:r>
          <a:r>
            <a:rPr lang="nb-NO" sz="1100" baseline="0"/>
            <a:t> i kap. 7. Den er godt innarbeidet på markedet, og oppnådde en sterk salgsøkning i 2011. I dette tilfellet dreier det seg om et helt nytt produkt. Det er ingen grunn til at den ikke skulle oppnå minst like stor avanse på dette nye produktet som på øvrig salg. Prisen bør   i utgangspunktet settes til rundt kr 5 500, men bedriften bør også vurdere en høyere pris. Eventuelt kan den vurdere en lavere introduksjonspris for å få produktet raskere ut på markedet. (Zapos hovedproblem har vært en uforholdsmessig sterk vekst i lønnskostnader og andre driftskostnader. Den bør gjøre noe med disse slik at satsen for indirekte kostnader går ned og fortjenestemarginen går opp). </a:t>
          </a:r>
        </a:p>
        <a:p>
          <a:endParaRPr lang="nb-NO" sz="1100" baseline="0"/>
        </a:p>
        <a:p>
          <a:endParaRPr lang="nb-NO" sz="1100" baseline="0"/>
        </a:p>
      </xdr:txBody>
    </xdr:sp>
    <xdr:clientData/>
  </xdr:twoCellAnchor>
  <xdr:twoCellAnchor>
    <xdr:from>
      <xdr:col>0</xdr:col>
      <xdr:colOff>19050</xdr:colOff>
      <xdr:row>83</xdr:row>
      <xdr:rowOff>9525</xdr:rowOff>
    </xdr:from>
    <xdr:to>
      <xdr:col>6</xdr:col>
      <xdr:colOff>723900</xdr:colOff>
      <xdr:row>95</xdr:row>
      <xdr:rowOff>85724</xdr:rowOff>
    </xdr:to>
    <xdr:sp macro="" textlink="">
      <xdr:nvSpPr>
        <xdr:cNvPr id="4" name="TekstSylinder 3"/>
        <xdr:cNvSpPr txBox="1"/>
      </xdr:nvSpPr>
      <xdr:spPr>
        <a:xfrm>
          <a:off x="19050" y="14916150"/>
          <a:ext cx="6677025" cy="2362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Tilbudet dekker langt</a:t>
          </a:r>
          <a:r>
            <a:rPr lang="nb-NO" sz="1100" baseline="0"/>
            <a:t> fra</a:t>
          </a:r>
          <a:r>
            <a:rPr lang="nb-NO" sz="1100"/>
            <a:t> selvkost per enhet (beregnet over), men gir et postivt dekningsbidrag</a:t>
          </a:r>
          <a:r>
            <a:rPr lang="nb-NO" sz="1100" baseline="0"/>
            <a:t> på kr 300 per stk. </a:t>
          </a:r>
        </a:p>
        <a:p>
          <a:endParaRPr lang="nb-NO" sz="1100" baseline="0"/>
        </a:p>
        <a:p>
          <a:r>
            <a:rPr lang="nb-NO" sz="1100" baseline="0"/>
            <a:t>Som regnskapet viser har Zapo AS oppnådd en sterk salgsøkning det siste året med en gjennomsnittsavanse som ligger langt over hva dette tilbudet innebærer. Bedriften synes ikke å være i en situasjon med ledig kapasitet hvor man godtar enhver pris som gir et positivt dekningsbidrag. </a:t>
          </a:r>
        </a:p>
        <a:p>
          <a:endParaRPr lang="nb-NO" sz="1100" baseline="0"/>
        </a:p>
        <a:p>
          <a:r>
            <a:rPr lang="nb-NO" sz="1100" baseline="0"/>
            <a:t>Vi kjenner ikke konkurransesituasjonen og en eventuell markedspris for denne nye fingeravtrykkslåsen.  Under forutsetning av at det er mulig å oppnå normal bruttofortjeneste på dette produktet, bør Zapo AS avvise forespørselen.</a:t>
          </a:r>
        </a:p>
        <a:p>
          <a:endParaRPr lang="nb-NO" sz="1100" baseline="0"/>
        </a:p>
        <a:p>
          <a:r>
            <a:rPr lang="nb-NO" sz="1100" baseline="0"/>
            <a:t>En grunn til at den lave prisen likevel kan aksepteres for et visst antall låser er at den er ledd i en introduksjonskampanje for produktet. Hvis kjøper er videreforhandler, bør Zapo AS undersøke hva produktet prissettes til i neste ledd før den avgjør tilbudet.</a:t>
          </a:r>
        </a:p>
        <a:p>
          <a:endParaRPr lang="nb-NO" sz="1100" baseline="0"/>
        </a:p>
        <a:p>
          <a:endParaRPr lang="nb-NO" sz="1100" baseline="0"/>
        </a:p>
        <a:p>
          <a:endParaRPr lang="nb-NO" sz="1100"/>
        </a:p>
        <a:p>
          <a:endParaRPr lang="nb-NO" sz="1100"/>
        </a:p>
      </xdr:txBody>
    </xdr:sp>
    <xdr:clientData/>
  </xdr:twoCellAnchor>
  <xdr:twoCellAnchor editAs="oneCell">
    <xdr:from>
      <xdr:col>0</xdr:col>
      <xdr:colOff>0</xdr:colOff>
      <xdr:row>0</xdr:row>
      <xdr:rowOff>0</xdr:rowOff>
    </xdr:from>
    <xdr:to>
      <xdr:col>2</xdr:col>
      <xdr:colOff>485774</xdr:colOff>
      <xdr:row>3</xdr:row>
      <xdr:rowOff>114300</xdr:rowOff>
    </xdr:to>
    <xdr:pic>
      <xdr:nvPicPr>
        <xdr:cNvPr id="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409949" cy="685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647699</xdr:colOff>
      <xdr:row>3</xdr:row>
      <xdr:rowOff>114300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409949" cy="685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28575</xdr:colOff>
      <xdr:row>24</xdr:row>
      <xdr:rowOff>28575</xdr:rowOff>
    </xdr:from>
    <xdr:to>
      <xdr:col>5</xdr:col>
      <xdr:colOff>276225</xdr:colOff>
      <xdr:row>34</xdr:row>
      <xdr:rowOff>66675</xdr:rowOff>
    </xdr:to>
    <xdr:sp macro="" textlink="">
      <xdr:nvSpPr>
        <xdr:cNvPr id="2" name="Text Box 1"/>
        <xdr:cNvSpPr txBox="1">
          <a:spLocks noChangeArrowheads="1"/>
        </xdr:cNvSpPr>
      </xdr:nvSpPr>
      <xdr:spPr bwMode="auto">
        <a:xfrm>
          <a:off x="790575" y="4638675"/>
          <a:ext cx="4867275" cy="1943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22860" rIns="0" bIns="0" anchor="t" upright="1"/>
        <a:lstStyle/>
        <a:p>
          <a:pPr algn="l" rtl="0">
            <a:defRPr sz="1000"/>
          </a:pPr>
          <a:r>
            <a:rPr lang="nb-NO" sz="1000" b="0" i="0" u="none" strike="noStrike" baseline="0">
              <a:solidFill>
                <a:srgbClr val="000000"/>
              </a:solidFill>
              <a:latin typeface="Arial"/>
              <a:cs typeface="Arial"/>
            </a:rPr>
            <a:t>Prisen synes å være fornuftig. Den gir full dekning for alle kostnadene og i tillegg en fortjeneste. </a:t>
          </a:r>
        </a:p>
        <a:p>
          <a:pPr algn="l" rtl="0">
            <a:defRPr sz="1000"/>
          </a:pP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To forhold som er viktige for den som driver hotell eller pensjonat:</a:t>
          </a:r>
        </a:p>
        <a:p>
          <a:pPr algn="l" rtl="0">
            <a:defRPr sz="1000"/>
          </a:pP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Tilleggssatsen for indirekte faste kostnader er basert på et bestemt belegg. Hvis belegget (antall gjester) synker, gir ikke 140 % tillegg full dekning av de faste kostnadene.</a:t>
          </a:r>
        </a:p>
        <a:p>
          <a:pPr algn="l" rtl="0">
            <a:defRPr sz="1000"/>
          </a:pPr>
          <a:r>
            <a:rPr lang="nb-NO" sz="1000" b="0" i="0" u="none" strike="noStrike" baseline="0">
              <a:solidFill>
                <a:srgbClr val="000000"/>
              </a:solidFill>
              <a:latin typeface="Arial"/>
              <a:cs typeface="Arial"/>
            </a:rPr>
            <a:t> </a:t>
          </a:r>
        </a:p>
        <a:p>
          <a:pPr algn="l" rtl="0">
            <a:defRPr sz="1000"/>
          </a:pPr>
          <a:r>
            <a:rPr lang="nb-NO" sz="1000" b="0" i="0" u="none" strike="noStrike" baseline="0">
              <a:solidFill>
                <a:srgbClr val="000000"/>
              </a:solidFill>
              <a:latin typeface="Arial"/>
              <a:cs typeface="Arial"/>
            </a:rPr>
            <a:t>Prisen på kr 756 er en pris på lengre sikt. Dersom bedriften gir tilbud om lavere pris i en periode, vil det tære på det totale dekningsbidraget. Lønnsomheten blir lavere.</a:t>
          </a:r>
        </a:p>
      </xdr:txBody>
    </xdr:sp>
    <xdr:clientData/>
  </xdr:twoCellAnchor>
  <xdr:twoCellAnchor editAs="oneCell">
    <xdr:from>
      <xdr:col>0</xdr:col>
      <xdr:colOff>0</xdr:colOff>
      <xdr:row>0</xdr:row>
      <xdr:rowOff>0</xdr:rowOff>
    </xdr:from>
    <xdr:to>
      <xdr:col>2</xdr:col>
      <xdr:colOff>76199</xdr:colOff>
      <xdr:row>3</xdr:row>
      <xdr:rowOff>114300</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409949" cy="6858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114300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409949" cy="6858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3409949</xdr:colOff>
      <xdr:row>3</xdr:row>
      <xdr:rowOff>114300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409949" cy="6858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114300</xdr:colOff>
      <xdr:row>45</xdr:row>
      <xdr:rowOff>171449</xdr:rowOff>
    </xdr:from>
    <xdr:to>
      <xdr:col>4</xdr:col>
      <xdr:colOff>1</xdr:colOff>
      <xdr:row>51</xdr:row>
      <xdr:rowOff>180974</xdr:rowOff>
    </xdr:to>
    <xdr:sp macro="" textlink="">
      <xdr:nvSpPr>
        <xdr:cNvPr id="2" name="TekstSylinder 1"/>
        <xdr:cNvSpPr txBox="1"/>
      </xdr:nvSpPr>
      <xdr:spPr>
        <a:xfrm>
          <a:off x="114300" y="7658099"/>
          <a:ext cx="5362576"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Det tilbudte honoraret dekker ikke en gang lønnskostnaden</a:t>
          </a:r>
          <a:r>
            <a:rPr lang="nb-NO" sz="1100" baseline="0"/>
            <a:t> til den som skal utføre arbeidet (kontroller selv!). Men hvis vi forutsetter at alle er fast ansatt og at det ikke er snakk om permitteringer, er ikke denne opplysningen beslutningsrelevant. Det finnes ikke noe inntektsgivende alternativ på kort sikt, og honoraret dekker i det minste deler av lønnen.  Blikk AS bør derfor påta seg jobben. Det å stille opp for et lokalt idrettslag kan også innebære goodwill for dem selv, noe som kan gi økte inntekter på sikt.</a:t>
          </a:r>
          <a:endParaRPr lang="nb-NO" sz="1100"/>
        </a:p>
      </xdr:txBody>
    </xdr:sp>
    <xdr:clientData/>
  </xdr:twoCellAnchor>
  <xdr:twoCellAnchor editAs="oneCell">
    <xdr:from>
      <xdr:col>0</xdr:col>
      <xdr:colOff>0</xdr:colOff>
      <xdr:row>0</xdr:row>
      <xdr:rowOff>0</xdr:rowOff>
    </xdr:from>
    <xdr:to>
      <xdr:col>1</xdr:col>
      <xdr:colOff>219074</xdr:colOff>
      <xdr:row>3</xdr:row>
      <xdr:rowOff>114300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409949" cy="6858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438150</xdr:colOff>
      <xdr:row>9</xdr:row>
      <xdr:rowOff>66675</xdr:rowOff>
    </xdr:from>
    <xdr:to>
      <xdr:col>7</xdr:col>
      <xdr:colOff>142875</xdr:colOff>
      <xdr:row>13</xdr:row>
      <xdr:rowOff>95250</xdr:rowOff>
    </xdr:to>
    <xdr:sp macro="" textlink="">
      <xdr:nvSpPr>
        <xdr:cNvPr id="2" name="TekstSylinder 1"/>
        <xdr:cNvSpPr txBox="1"/>
      </xdr:nvSpPr>
      <xdr:spPr>
        <a:xfrm>
          <a:off x="3581400" y="828675"/>
          <a:ext cx="351472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Timelønnen på  kr 250 viser  hva  Sonja Frantzen beregner</a:t>
          </a:r>
          <a:r>
            <a:rPr lang="nb-NO" sz="1100" baseline="0"/>
            <a:t> seg i godtgjørelse for sin arbeidsinnsats. Timelønnen tilsvarer ikke </a:t>
          </a:r>
          <a:r>
            <a:rPr lang="nb-NO" sz="1100" i="1" baseline="0"/>
            <a:t>timesatser</a:t>
          </a:r>
          <a:r>
            <a:rPr lang="nb-NO" sz="1100" baseline="0"/>
            <a:t> i  servicebedrifter. </a:t>
          </a:r>
          <a:endParaRPr lang="nb-NO" sz="1100"/>
        </a:p>
      </xdr:txBody>
    </xdr:sp>
    <xdr:clientData/>
  </xdr:twoCellAnchor>
  <xdr:twoCellAnchor>
    <xdr:from>
      <xdr:col>2</xdr:col>
      <xdr:colOff>523875</xdr:colOff>
      <xdr:row>23</xdr:row>
      <xdr:rowOff>152400</xdr:rowOff>
    </xdr:from>
    <xdr:to>
      <xdr:col>6</xdr:col>
      <xdr:colOff>647701</xdr:colOff>
      <xdr:row>25</xdr:row>
      <xdr:rowOff>104776</xdr:rowOff>
    </xdr:to>
    <xdr:sp macro="" textlink="">
      <xdr:nvSpPr>
        <xdr:cNvPr id="3" name="TekstSylinder 2"/>
        <xdr:cNvSpPr txBox="1"/>
      </xdr:nvSpPr>
      <xdr:spPr>
        <a:xfrm>
          <a:off x="3667125" y="3390900"/>
          <a:ext cx="3171826" cy="333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0" i="0" u="none" strike="noStrike">
              <a:solidFill>
                <a:schemeClr val="dk1"/>
              </a:solidFill>
              <a:effectLst/>
              <a:latin typeface="+mn-lt"/>
              <a:ea typeface="+mn-ea"/>
              <a:cs typeface="+mn-cs"/>
            </a:rPr>
            <a:t>Indirekte kostnader er regnet i % av direkte lønn</a:t>
          </a:r>
          <a:r>
            <a:rPr lang="nb-NO"/>
            <a:t> </a:t>
          </a:r>
          <a:endParaRPr lang="nb-NO" sz="1100"/>
        </a:p>
      </xdr:txBody>
    </xdr:sp>
    <xdr:clientData/>
  </xdr:twoCellAnchor>
  <xdr:twoCellAnchor>
    <xdr:from>
      <xdr:col>0</xdr:col>
      <xdr:colOff>66674</xdr:colOff>
      <xdr:row>31</xdr:row>
      <xdr:rowOff>142874</xdr:rowOff>
    </xdr:from>
    <xdr:to>
      <xdr:col>6</xdr:col>
      <xdr:colOff>704850</xdr:colOff>
      <xdr:row>48</xdr:row>
      <xdr:rowOff>142875</xdr:rowOff>
    </xdr:to>
    <xdr:sp macro="" textlink="">
      <xdr:nvSpPr>
        <xdr:cNvPr id="4" name="TekstSylinder 3"/>
        <xdr:cNvSpPr txBox="1"/>
      </xdr:nvSpPr>
      <xdr:spPr>
        <a:xfrm>
          <a:off x="66674" y="5114924"/>
          <a:ext cx="6829426" cy="3238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a) Utsalgspris, basert på en selvkostkalkyle,</a:t>
          </a:r>
          <a:r>
            <a:rPr lang="nb-NO" sz="1100" baseline="0"/>
            <a:t> er kr 2 460 (avrundet).</a:t>
          </a:r>
          <a:endParaRPr lang="nb-NO" sz="1100"/>
        </a:p>
        <a:p>
          <a:endParaRPr lang="nb-NO" sz="1100"/>
        </a:p>
        <a:p>
          <a:r>
            <a:rPr lang="nb-NO" sz="1100"/>
            <a:t>b) Tilbudet om kjøp av restlageret for kr 800 per stk eksklusive</a:t>
          </a:r>
          <a:r>
            <a:rPr lang="nb-NO" sz="1100" baseline="0"/>
            <a:t> mva. (kr 1000 inkl. mva.) må vurderes i forhold til hva som er alternativet.</a:t>
          </a:r>
        </a:p>
        <a:p>
          <a:endParaRPr lang="nb-NO" sz="1100" baseline="0"/>
        </a:p>
        <a:p>
          <a:r>
            <a:rPr lang="nb-NO" sz="1100" baseline="0"/>
            <a:t>Kan Gullart ANS selv sette ned prisen? En utsalgspris på over kr 1000 per stk vil være mer lønnsomt  enn et salg til Gullfunn AS til den tilbudte prisen (dersom vi ser bort fra kostnader ved å selge ringene).</a:t>
          </a:r>
        </a:p>
        <a:p>
          <a:endParaRPr lang="nb-NO" sz="1100" baseline="0"/>
        </a:p>
        <a:p>
          <a:r>
            <a:rPr lang="nb-NO" sz="1100" baseline="0"/>
            <a:t>Hvis Gullart ANS vurderer ringene som lite salgbare til en høyere utsalgspris enn kr 1000 inklusive mva., bør de slå til.  Salget vil tross alt innbringe en inntekt på kr 8 000. Det er bedre med penger i banken enn på lager. </a:t>
          </a:r>
        </a:p>
        <a:p>
          <a:endParaRPr lang="nb-NO" sz="1100" baseline="0"/>
        </a:p>
        <a:p>
          <a:r>
            <a:rPr lang="nb-NO" sz="1100"/>
            <a:t>c) Ved</a:t>
          </a:r>
          <a:r>
            <a:rPr lang="nb-NO" sz="1100" baseline="0"/>
            <a:t> forhåndskalkyler er det</a:t>
          </a:r>
          <a:r>
            <a:rPr lang="nb-NO" sz="1100"/>
            <a:t> vanlig</a:t>
          </a:r>
          <a:r>
            <a:rPr lang="nb-NO" sz="1100" baseline="0"/>
            <a:t> å sette laveste lønnsomme pris (på kort sikt) til summen av de direkte kostnadene, her kr 920 uten mva.  I dette tilfellet er arbeidstiden allerede gått med, og kan ikke brukes til alternativ produksjon. Den tilbudte prisen er langt høyere enn ringenes metallverdi. Den laveste lønnsomme prisen  i dette tilfellet blir den laveste prisen Gullart ANS kan regne med å oppnå ved salg. Uten andre alternativer er dette den tilbudte prisen  fra Gullfunn, kr 1000 inklusive merverdiavgift.</a:t>
          </a:r>
          <a:endParaRPr lang="nb-NO" sz="1100"/>
        </a:p>
      </xdr:txBody>
    </xdr:sp>
    <xdr:clientData/>
  </xdr:twoCellAnchor>
  <xdr:twoCellAnchor editAs="oneCell">
    <xdr:from>
      <xdr:col>0</xdr:col>
      <xdr:colOff>0</xdr:colOff>
      <xdr:row>0</xdr:row>
      <xdr:rowOff>0</xdr:rowOff>
    </xdr:from>
    <xdr:to>
      <xdr:col>2</xdr:col>
      <xdr:colOff>266699</xdr:colOff>
      <xdr:row>3</xdr:row>
      <xdr:rowOff>114300</xdr:rowOff>
    </xdr:to>
    <xdr:pic>
      <xdr:nvPicPr>
        <xdr:cNvPr id="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409949"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561974</xdr:colOff>
      <xdr:row>3</xdr:row>
      <xdr:rowOff>114300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514724"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561974</xdr:colOff>
      <xdr:row>3</xdr:row>
      <xdr:rowOff>114300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505199"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228601</xdr:colOff>
      <xdr:row>35</xdr:row>
      <xdr:rowOff>95251</xdr:rowOff>
    </xdr:from>
    <xdr:to>
      <xdr:col>6</xdr:col>
      <xdr:colOff>1</xdr:colOff>
      <xdr:row>42</xdr:row>
      <xdr:rowOff>19051</xdr:rowOff>
    </xdr:to>
    <xdr:sp macro="" textlink="">
      <xdr:nvSpPr>
        <xdr:cNvPr id="2" name="TekstSylinder 1"/>
        <xdr:cNvSpPr txBox="1"/>
      </xdr:nvSpPr>
      <xdr:spPr>
        <a:xfrm>
          <a:off x="228601" y="6038851"/>
          <a:ext cx="4743450"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Alternativ</a:t>
          </a:r>
          <a:r>
            <a:rPr lang="nb-NO" sz="1100" baseline="0"/>
            <a:t> </a:t>
          </a:r>
          <a:r>
            <a:rPr lang="nb-NO" sz="1100"/>
            <a:t> beregning:</a:t>
          </a:r>
        </a:p>
        <a:p>
          <a:r>
            <a:rPr lang="nb-NO" sz="1100"/>
            <a:t>Vi kan finne salgspris med mva på denne måten:</a:t>
          </a:r>
        </a:p>
        <a:p>
          <a:r>
            <a:rPr lang="nb-NO" sz="1100"/>
            <a:t>kr 50</a:t>
          </a:r>
          <a:r>
            <a:rPr lang="nb-NO" sz="1100" baseline="0"/>
            <a:t> * 1,40*1,10 * 1,15 = kr 88,55</a:t>
          </a:r>
        </a:p>
        <a:p>
          <a:endParaRPr lang="nb-NO" sz="1100" baseline="0"/>
        </a:p>
        <a:p>
          <a:r>
            <a:rPr lang="nb-NO" sz="1100" baseline="0"/>
            <a:t>Vi multipliserer 50 med 1,40 * 1,10 * 1,15 = 1,771</a:t>
          </a:r>
        </a:p>
        <a:p>
          <a:r>
            <a:rPr lang="nb-NO" sz="1100" baseline="0"/>
            <a:t>Påslagstallet med en desimal er altså 1,8</a:t>
          </a:r>
          <a:endParaRPr lang="nb-NO" sz="1100"/>
        </a:p>
      </xdr:txBody>
    </xdr:sp>
    <xdr:clientData/>
  </xdr:twoCellAnchor>
  <xdr:twoCellAnchor editAs="oneCell">
    <xdr:from>
      <xdr:col>0</xdr:col>
      <xdr:colOff>0</xdr:colOff>
      <xdr:row>0</xdr:row>
      <xdr:rowOff>0</xdr:rowOff>
    </xdr:from>
    <xdr:to>
      <xdr:col>3</xdr:col>
      <xdr:colOff>561974</xdr:colOff>
      <xdr:row>3</xdr:row>
      <xdr:rowOff>114300</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48024" cy="685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561974</xdr:colOff>
      <xdr:row>3</xdr:row>
      <xdr:rowOff>114300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514724" cy="685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561974</xdr:colOff>
      <xdr:row>3</xdr:row>
      <xdr:rowOff>114300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24224" cy="685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228600</xdr:colOff>
      <xdr:row>3</xdr:row>
      <xdr:rowOff>114300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771900" cy="685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190500</xdr:colOff>
      <xdr:row>3</xdr:row>
      <xdr:rowOff>114300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762375" cy="685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561974</xdr:colOff>
      <xdr:row>3</xdr:row>
      <xdr:rowOff>114300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543299" cy="68580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29"/>
  <sheetViews>
    <sheetView tabSelected="1" workbookViewId="0">
      <selection activeCell="B5" sqref="B5"/>
    </sheetView>
  </sheetViews>
  <sheetFormatPr baseColWidth="10" defaultRowHeight="15" x14ac:dyDescent="0.25"/>
  <cols>
    <col min="1" max="1" width="4.28515625" customWidth="1"/>
    <col min="2" max="2" width="34.85546875" customWidth="1"/>
    <col min="3" max="3" width="12" bestFit="1" customWidth="1"/>
  </cols>
  <sheetData>
    <row r="5" spans="2:4" ht="18.75" x14ac:dyDescent="0.3">
      <c r="B5" s="97" t="s">
        <v>266</v>
      </c>
    </row>
    <row r="6" spans="2:4" x14ac:dyDescent="0.25">
      <c r="B6" s="16"/>
    </row>
    <row r="7" spans="2:4" x14ac:dyDescent="0.25">
      <c r="B7" t="s">
        <v>265</v>
      </c>
    </row>
    <row r="8" spans="2:4" x14ac:dyDescent="0.25">
      <c r="B8" s="80" t="s">
        <v>0</v>
      </c>
      <c r="C8">
        <v>100</v>
      </c>
    </row>
    <row r="9" spans="2:4" x14ac:dyDescent="0.25">
      <c r="B9" t="s">
        <v>1</v>
      </c>
      <c r="C9" s="1">
        <v>10000</v>
      </c>
    </row>
    <row r="10" spans="2:4" x14ac:dyDescent="0.25">
      <c r="B10" t="s">
        <v>2</v>
      </c>
      <c r="C10" s="1">
        <v>1200</v>
      </c>
    </row>
    <row r="11" spans="2:4" x14ac:dyDescent="0.25">
      <c r="B11" t="s">
        <v>3</v>
      </c>
      <c r="C11" s="2">
        <v>0.8</v>
      </c>
    </row>
    <row r="12" spans="2:4" x14ac:dyDescent="0.25">
      <c r="B12" t="s">
        <v>25</v>
      </c>
      <c r="C12" s="2">
        <v>0.1</v>
      </c>
    </row>
    <row r="13" spans="2:4" x14ac:dyDescent="0.25">
      <c r="B13" t="s">
        <v>30</v>
      </c>
      <c r="C13" s="2">
        <v>0.25</v>
      </c>
    </row>
    <row r="14" spans="2:4" x14ac:dyDescent="0.25">
      <c r="B14" t="s">
        <v>6</v>
      </c>
      <c r="C14" s="2"/>
    </row>
    <row r="16" spans="2:4" x14ac:dyDescent="0.25">
      <c r="B16" s="80" t="s">
        <v>263</v>
      </c>
      <c r="C16" t="s">
        <v>10</v>
      </c>
      <c r="D16" t="s">
        <v>11</v>
      </c>
    </row>
    <row r="17" spans="1:5" x14ac:dyDescent="0.25">
      <c r="C17" s="1">
        <v>10000</v>
      </c>
    </row>
    <row r="18" spans="1:5" x14ac:dyDescent="0.25">
      <c r="A18" t="s">
        <v>8</v>
      </c>
      <c r="B18" t="s">
        <v>12</v>
      </c>
      <c r="C18" s="3">
        <v>1200</v>
      </c>
    </row>
    <row r="19" spans="1:5" x14ac:dyDescent="0.25">
      <c r="A19" t="s">
        <v>9</v>
      </c>
      <c r="B19" t="s">
        <v>3</v>
      </c>
      <c r="C19" s="9">
        <f>SUM(C17:C18)</f>
        <v>11200</v>
      </c>
      <c r="D19" s="9">
        <f>C19/C8</f>
        <v>112</v>
      </c>
      <c r="E19" s="16" t="s">
        <v>7</v>
      </c>
    </row>
    <row r="20" spans="1:5" x14ac:dyDescent="0.25">
      <c r="A20" t="s">
        <v>8</v>
      </c>
      <c r="B20" t="s">
        <v>13</v>
      </c>
      <c r="C20" s="8">
        <f>C19*$C$11</f>
        <v>8960</v>
      </c>
      <c r="D20" s="8">
        <f>D19*$C$11</f>
        <v>89.600000000000009</v>
      </c>
      <c r="E20" s="16"/>
    </row>
    <row r="21" spans="1:5" x14ac:dyDescent="0.25">
      <c r="A21" t="s">
        <v>9</v>
      </c>
      <c r="B21" t="s">
        <v>15</v>
      </c>
      <c r="C21" s="11">
        <f>SUM(C19:C20)</f>
        <v>20160</v>
      </c>
      <c r="D21" s="11">
        <f>SUM(D19:D20)</f>
        <v>201.60000000000002</v>
      </c>
      <c r="E21" s="16" t="s">
        <v>14</v>
      </c>
    </row>
    <row r="22" spans="1:5" x14ac:dyDescent="0.25">
      <c r="A22" t="s">
        <v>8</v>
      </c>
      <c r="B22" t="s">
        <v>16</v>
      </c>
      <c r="C22" s="8">
        <f>C21*$C$12</f>
        <v>2016</v>
      </c>
      <c r="D22" s="8">
        <f>D21*$C$12</f>
        <v>20.160000000000004</v>
      </c>
      <c r="E22" s="16"/>
    </row>
    <row r="23" spans="1:5" x14ac:dyDescent="0.25">
      <c r="A23" t="s">
        <v>9</v>
      </c>
      <c r="B23" s="10" t="s">
        <v>19</v>
      </c>
      <c r="C23" s="9">
        <f>SUM(C21:C22)</f>
        <v>22176</v>
      </c>
      <c r="D23" s="9">
        <f>SUM(D21:D22)</f>
        <v>221.76000000000002</v>
      </c>
      <c r="E23" s="16" t="s">
        <v>17</v>
      </c>
    </row>
    <row r="24" spans="1:5" x14ac:dyDescent="0.25">
      <c r="A24" t="s">
        <v>8</v>
      </c>
      <c r="B24" s="12" t="s">
        <v>20</v>
      </c>
      <c r="C24" s="8">
        <f>C23*C13</f>
        <v>5544</v>
      </c>
      <c r="D24" s="8">
        <f>D23*C13</f>
        <v>55.440000000000005</v>
      </c>
      <c r="E24" s="16"/>
    </row>
    <row r="25" spans="1:5" ht="15.75" thickBot="1" x14ac:dyDescent="0.3">
      <c r="A25" t="s">
        <v>9</v>
      </c>
      <c r="B25" s="12" t="s">
        <v>21</v>
      </c>
      <c r="C25" s="13">
        <f>SUM(C23:C24)</f>
        <v>27720</v>
      </c>
      <c r="D25" s="13">
        <f>SUM(D23:D24)</f>
        <v>277.20000000000005</v>
      </c>
      <c r="E25" s="16" t="s">
        <v>23</v>
      </c>
    </row>
    <row r="26" spans="1:5" ht="15.75" thickTop="1" x14ac:dyDescent="0.25">
      <c r="B26" s="12" t="s">
        <v>22</v>
      </c>
    </row>
    <row r="27" spans="1:5" x14ac:dyDescent="0.25">
      <c r="C27" s="4"/>
      <c r="D27" s="4"/>
    </row>
    <row r="28" spans="1:5" x14ac:dyDescent="0.25">
      <c r="C28" s="6"/>
      <c r="D28" s="6"/>
    </row>
    <row r="29" spans="1:5" x14ac:dyDescent="0.25">
      <c r="C29" s="6"/>
      <c r="D29" s="6"/>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35"/>
  <sheetViews>
    <sheetView workbookViewId="0">
      <selection activeCell="C6" sqref="C6"/>
    </sheetView>
  </sheetViews>
  <sheetFormatPr baseColWidth="10" defaultRowHeight="15" x14ac:dyDescent="0.25"/>
  <cols>
    <col min="1" max="1" width="6.42578125" customWidth="1"/>
    <col min="2" max="2" width="24.7109375" customWidth="1"/>
  </cols>
  <sheetData>
    <row r="5" spans="1:3" ht="18.75" x14ac:dyDescent="0.3">
      <c r="A5" s="107"/>
      <c r="B5" s="99" t="s">
        <v>278</v>
      </c>
    </row>
    <row r="6" spans="1:3" ht="18.75" x14ac:dyDescent="0.3">
      <c r="A6" s="107"/>
      <c r="B6" s="16"/>
    </row>
    <row r="7" spans="1:3" ht="18.75" x14ac:dyDescent="0.3">
      <c r="A7" s="107"/>
      <c r="B7" s="17" t="s">
        <v>199</v>
      </c>
    </row>
    <row r="8" spans="1:3" x14ac:dyDescent="0.25">
      <c r="A8" s="31"/>
      <c r="B8" s="94" t="s">
        <v>0</v>
      </c>
    </row>
    <row r="9" spans="1:3" x14ac:dyDescent="0.25">
      <c r="A9" s="31"/>
      <c r="B9" t="s">
        <v>83</v>
      </c>
      <c r="C9" s="37">
        <v>27650</v>
      </c>
    </row>
    <row r="10" spans="1:3" x14ac:dyDescent="0.25">
      <c r="A10" s="31"/>
      <c r="B10" t="s">
        <v>84</v>
      </c>
      <c r="C10" s="37">
        <v>2800</v>
      </c>
    </row>
    <row r="11" spans="1:3" x14ac:dyDescent="0.25">
      <c r="A11" s="31"/>
      <c r="B11" t="s">
        <v>85</v>
      </c>
      <c r="C11">
        <v>35</v>
      </c>
    </row>
    <row r="12" spans="1:3" x14ac:dyDescent="0.25">
      <c r="A12" s="31"/>
      <c r="B12" t="s">
        <v>41</v>
      </c>
      <c r="C12" s="37">
        <v>1675</v>
      </c>
    </row>
    <row r="13" spans="1:3" x14ac:dyDescent="0.25">
      <c r="A13" s="31"/>
      <c r="B13" t="s">
        <v>6</v>
      </c>
      <c r="C13" s="2">
        <v>0.25</v>
      </c>
    </row>
    <row r="14" spans="1:3" x14ac:dyDescent="0.25">
      <c r="A14" s="31"/>
    </row>
    <row r="15" spans="1:3" x14ac:dyDescent="0.25">
      <c r="A15" s="31"/>
      <c r="B15" s="94" t="s">
        <v>264</v>
      </c>
    </row>
    <row r="16" spans="1:3" x14ac:dyDescent="0.25">
      <c r="A16" s="31"/>
      <c r="B16" t="str">
        <f>B9</f>
        <v>Innkjøpsverdi</v>
      </c>
      <c r="C16" s="37">
        <f>C9</f>
        <v>27650</v>
      </c>
    </row>
    <row r="17" spans="1:9" x14ac:dyDescent="0.25">
      <c r="A17" s="35" t="s">
        <v>86</v>
      </c>
      <c r="B17" t="s">
        <v>87</v>
      </c>
      <c r="C17" s="38">
        <f>C10</f>
        <v>2800</v>
      </c>
    </row>
    <row r="18" spans="1:9" ht="15.75" thickBot="1" x14ac:dyDescent="0.3">
      <c r="A18" s="35" t="s">
        <v>79</v>
      </c>
      <c r="B18" t="s">
        <v>76</v>
      </c>
      <c r="C18" s="39">
        <f>SUM(C16:C17)</f>
        <v>30450</v>
      </c>
    </row>
    <row r="19" spans="1:9" ht="15.75" thickTop="1" x14ac:dyDescent="0.25">
      <c r="A19" s="31"/>
    </row>
    <row r="20" spans="1:9" ht="15.75" thickBot="1" x14ac:dyDescent="0.3">
      <c r="A20" s="41" t="s">
        <v>7</v>
      </c>
      <c r="B20" t="s">
        <v>88</v>
      </c>
      <c r="C20" s="42">
        <f>C18/C11</f>
        <v>870</v>
      </c>
    </row>
    <row r="21" spans="1:9" ht="15.75" thickTop="1" x14ac:dyDescent="0.25">
      <c r="A21" s="31"/>
    </row>
    <row r="22" spans="1:9" x14ac:dyDescent="0.25">
      <c r="A22" s="41" t="s">
        <v>14</v>
      </c>
      <c r="B22" t="str">
        <f>B12</f>
        <v>Salgspris med mva</v>
      </c>
      <c r="C22" s="37">
        <f>C12</f>
        <v>1675</v>
      </c>
    </row>
    <row r="23" spans="1:9" x14ac:dyDescent="0.25">
      <c r="A23" s="31" t="s">
        <v>78</v>
      </c>
      <c r="B23" t="s">
        <v>48</v>
      </c>
      <c r="C23" s="38">
        <f>C22/(1+C13)*C13</f>
        <v>335</v>
      </c>
    </row>
    <row r="24" spans="1:9" x14ac:dyDescent="0.25">
      <c r="A24" s="35" t="s">
        <v>79</v>
      </c>
      <c r="B24" t="s">
        <v>20</v>
      </c>
      <c r="C24" s="37">
        <f>C22-C23</f>
        <v>1340</v>
      </c>
    </row>
    <row r="25" spans="1:9" x14ac:dyDescent="0.25">
      <c r="A25" s="31" t="s">
        <v>78</v>
      </c>
      <c r="B25" t="s">
        <v>58</v>
      </c>
      <c r="C25" s="38">
        <f>C20</f>
        <v>870</v>
      </c>
    </row>
    <row r="26" spans="1:9" ht="15.75" thickBot="1" x14ac:dyDescent="0.3">
      <c r="A26" s="35" t="s">
        <v>79</v>
      </c>
      <c r="B26" t="s">
        <v>89</v>
      </c>
      <c r="C26" s="42">
        <f>C24-C25</f>
        <v>470</v>
      </c>
    </row>
    <row r="27" spans="1:9" ht="15.75" thickTop="1" x14ac:dyDescent="0.25">
      <c r="A27" s="31"/>
    </row>
    <row r="28" spans="1:9" x14ac:dyDescent="0.25">
      <c r="A28" s="31"/>
    </row>
    <row r="29" spans="1:9" x14ac:dyDescent="0.25">
      <c r="A29" s="31"/>
      <c r="I29" s="43"/>
    </row>
    <row r="30" spans="1:9" x14ac:dyDescent="0.25">
      <c r="A30" s="31"/>
      <c r="I30" s="43"/>
    </row>
    <row r="31" spans="1:9" x14ac:dyDescent="0.25">
      <c r="A31" s="31"/>
      <c r="I31" s="43"/>
    </row>
    <row r="32" spans="1:9" x14ac:dyDescent="0.25">
      <c r="A32" s="31" t="s">
        <v>23</v>
      </c>
      <c r="B32" t="s">
        <v>88</v>
      </c>
      <c r="C32" s="37">
        <f>C20</f>
        <v>870</v>
      </c>
      <c r="I32" s="43"/>
    </row>
    <row r="33" spans="1:3" x14ac:dyDescent="0.25">
      <c r="A33" s="31" t="s">
        <v>8</v>
      </c>
      <c r="B33" t="s">
        <v>48</v>
      </c>
      <c r="C33" s="38">
        <f>C32*C13</f>
        <v>217.5</v>
      </c>
    </row>
    <row r="34" spans="1:3" ht="15.75" thickBot="1" x14ac:dyDescent="0.3">
      <c r="A34" s="31"/>
      <c r="B34" t="s">
        <v>90</v>
      </c>
      <c r="C34" s="39">
        <f>C32+C33</f>
        <v>1087.5</v>
      </c>
    </row>
    <row r="35" spans="1:3" ht="15.75" thickTop="1" x14ac:dyDescent="0.25">
      <c r="A35" s="31"/>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D58"/>
  <sheetViews>
    <sheetView workbookViewId="0">
      <selection activeCell="B8" sqref="B8"/>
    </sheetView>
  </sheetViews>
  <sheetFormatPr baseColWidth="10" defaultRowHeight="15" x14ac:dyDescent="0.25"/>
  <cols>
    <col min="1" max="1" width="7" customWidth="1"/>
    <col min="2" max="2" width="29" bestFit="1" customWidth="1"/>
    <col min="3" max="3" width="18.28515625" customWidth="1"/>
  </cols>
  <sheetData>
    <row r="5" spans="1:3" ht="18.75" x14ac:dyDescent="0.3">
      <c r="A5" s="106" t="s">
        <v>279</v>
      </c>
      <c r="B5" s="16"/>
      <c r="C5" s="24"/>
    </row>
    <row r="6" spans="1:3" ht="18.75" x14ac:dyDescent="0.3">
      <c r="A6" s="106"/>
      <c r="B6" s="16"/>
      <c r="C6" s="24"/>
    </row>
    <row r="7" spans="1:3" ht="18.75" x14ac:dyDescent="0.3">
      <c r="A7" s="106"/>
      <c r="B7" s="17" t="s">
        <v>200</v>
      </c>
      <c r="C7" s="24"/>
    </row>
    <row r="8" spans="1:3" x14ac:dyDescent="0.25">
      <c r="A8" s="30"/>
      <c r="B8" s="91" t="s">
        <v>0</v>
      </c>
      <c r="C8" s="92"/>
    </row>
    <row r="9" spans="1:3" x14ac:dyDescent="0.25">
      <c r="A9" s="30"/>
      <c r="B9" s="83" t="s">
        <v>62</v>
      </c>
      <c r="C9" s="62">
        <v>9435000</v>
      </c>
    </row>
    <row r="10" spans="1:3" x14ac:dyDescent="0.25">
      <c r="A10" s="30"/>
      <c r="B10" s="83" t="s">
        <v>63</v>
      </c>
      <c r="C10" s="61">
        <v>6739000</v>
      </c>
    </row>
    <row r="11" spans="1:3" x14ac:dyDescent="0.25">
      <c r="A11" s="30"/>
      <c r="B11" s="83" t="s">
        <v>64</v>
      </c>
      <c r="C11" s="61">
        <v>1160000</v>
      </c>
    </row>
    <row r="12" spans="1:3" x14ac:dyDescent="0.25">
      <c r="A12" s="30"/>
      <c r="B12" s="83" t="s">
        <v>66</v>
      </c>
      <c r="C12" s="61">
        <v>377000</v>
      </c>
    </row>
    <row r="13" spans="1:3" x14ac:dyDescent="0.25">
      <c r="A13" s="30"/>
      <c r="B13" s="83" t="s">
        <v>65</v>
      </c>
      <c r="C13" s="93">
        <v>75000</v>
      </c>
    </row>
    <row r="14" spans="1:3" x14ac:dyDescent="0.25">
      <c r="A14" s="30"/>
      <c r="B14" s="83" t="s">
        <v>91</v>
      </c>
      <c r="C14" s="62">
        <v>464000</v>
      </c>
    </row>
    <row r="15" spans="1:3" x14ac:dyDescent="0.25">
      <c r="A15" s="30"/>
      <c r="B15" s="83" t="s">
        <v>256</v>
      </c>
      <c r="C15" s="72">
        <f>SUM(C10:C14)</f>
        <v>8815000</v>
      </c>
    </row>
    <row r="16" spans="1:3" x14ac:dyDescent="0.25">
      <c r="A16" s="30"/>
      <c r="B16" s="83" t="s">
        <v>257</v>
      </c>
      <c r="C16" s="61">
        <f>C9-C15</f>
        <v>620000</v>
      </c>
    </row>
    <row r="17" spans="1:3" x14ac:dyDescent="0.25">
      <c r="A17" s="30"/>
      <c r="B17" s="83" t="s">
        <v>258</v>
      </c>
      <c r="C17" s="61">
        <v>4000</v>
      </c>
    </row>
    <row r="18" spans="1:3" x14ac:dyDescent="0.25">
      <c r="A18" s="30"/>
      <c r="B18" s="83" t="s">
        <v>259</v>
      </c>
      <c r="C18" s="62">
        <v>174000</v>
      </c>
    </row>
    <row r="19" spans="1:3" x14ac:dyDescent="0.25">
      <c r="A19" s="30"/>
      <c r="B19" s="83" t="s">
        <v>260</v>
      </c>
      <c r="C19" s="61">
        <f>C16+C17-C18</f>
        <v>450000</v>
      </c>
    </row>
    <row r="20" spans="1:3" x14ac:dyDescent="0.25">
      <c r="A20" s="30"/>
      <c r="B20" s="83" t="s">
        <v>261</v>
      </c>
      <c r="C20" s="62">
        <v>123000</v>
      </c>
    </row>
    <row r="21" spans="1:3" x14ac:dyDescent="0.25">
      <c r="A21" s="30"/>
      <c r="B21" s="83" t="s">
        <v>262</v>
      </c>
      <c r="C21" s="72">
        <f>C19-C20</f>
        <v>327000</v>
      </c>
    </row>
    <row r="22" spans="1:3" x14ac:dyDescent="0.25">
      <c r="A22" s="30"/>
      <c r="B22" s="16"/>
      <c r="C22" s="24"/>
    </row>
    <row r="23" spans="1:3" x14ac:dyDescent="0.25">
      <c r="A23" s="30"/>
      <c r="B23" s="80" t="s">
        <v>27</v>
      </c>
      <c r="C23" s="24"/>
    </row>
    <row r="24" spans="1:3" ht="16.5" customHeight="1" x14ac:dyDescent="0.25">
      <c r="B24" t="s">
        <v>64</v>
      </c>
      <c r="C24" s="37">
        <v>1160000</v>
      </c>
    </row>
    <row r="25" spans="1:3" x14ac:dyDescent="0.25">
      <c r="B25" t="s">
        <v>66</v>
      </c>
      <c r="C25" s="37">
        <v>377000</v>
      </c>
    </row>
    <row r="26" spans="1:3" x14ac:dyDescent="0.25">
      <c r="B26" t="s">
        <v>65</v>
      </c>
      <c r="C26" s="37">
        <v>75000</v>
      </c>
    </row>
    <row r="27" spans="1:3" x14ac:dyDescent="0.25">
      <c r="B27" t="s">
        <v>91</v>
      </c>
      <c r="C27" s="37">
        <v>464000</v>
      </c>
    </row>
    <row r="28" spans="1:3" x14ac:dyDescent="0.25">
      <c r="B28" t="s">
        <v>67</v>
      </c>
      <c r="C28" s="38">
        <v>174000</v>
      </c>
    </row>
    <row r="29" spans="1:3" x14ac:dyDescent="0.25">
      <c r="A29" s="41" t="s">
        <v>7</v>
      </c>
      <c r="B29" t="s">
        <v>92</v>
      </c>
      <c r="C29" s="44">
        <f>SUM(C24:C28)</f>
        <v>2250000</v>
      </c>
    </row>
    <row r="30" spans="1:3" x14ac:dyDescent="0.25">
      <c r="A30" s="41"/>
      <c r="C30" s="37"/>
    </row>
    <row r="31" spans="1:3" x14ac:dyDescent="0.25">
      <c r="A31" s="41"/>
      <c r="B31" t="s">
        <v>93</v>
      </c>
      <c r="C31" s="38">
        <v>6739000</v>
      </c>
    </row>
    <row r="32" spans="1:3" ht="15.75" thickBot="1" x14ac:dyDescent="0.3">
      <c r="A32" s="41"/>
      <c r="B32" t="s">
        <v>94</v>
      </c>
      <c r="C32" s="45">
        <f>C29/C31</f>
        <v>0.33387742988573971</v>
      </c>
    </row>
    <row r="33" spans="1:4" ht="15.75" thickTop="1" x14ac:dyDescent="0.25">
      <c r="A33" s="41"/>
      <c r="C33" s="24"/>
    </row>
    <row r="34" spans="1:4" x14ac:dyDescent="0.25">
      <c r="A34" s="41" t="s">
        <v>14</v>
      </c>
      <c r="B34" t="s">
        <v>56</v>
      </c>
      <c r="C34" s="37">
        <f>9435000</f>
        <v>9435000</v>
      </c>
    </row>
    <row r="35" spans="1:4" x14ac:dyDescent="0.25">
      <c r="A35" s="46" t="s">
        <v>78</v>
      </c>
      <c r="B35" t="s">
        <v>95</v>
      </c>
      <c r="C35" s="38">
        <f>C31</f>
        <v>6739000</v>
      </c>
    </row>
    <row r="36" spans="1:4" x14ac:dyDescent="0.25">
      <c r="A36" s="47" t="s">
        <v>79</v>
      </c>
      <c r="B36" t="s">
        <v>96</v>
      </c>
      <c r="C36" s="44">
        <f>C34-C35</f>
        <v>2696000</v>
      </c>
    </row>
    <row r="37" spans="1:4" x14ac:dyDescent="0.25">
      <c r="A37" s="46"/>
      <c r="C37" s="24"/>
    </row>
    <row r="38" spans="1:4" ht="15.75" thickBot="1" x14ac:dyDescent="0.3">
      <c r="B38" t="s">
        <v>97</v>
      </c>
      <c r="C38" s="48">
        <f>C36/C34</f>
        <v>0.28574456809750926</v>
      </c>
    </row>
    <row r="39" spans="1:4" ht="15.75" thickTop="1" x14ac:dyDescent="0.25">
      <c r="C39" s="24"/>
    </row>
    <row r="40" spans="1:4" x14ac:dyDescent="0.25">
      <c r="A40" s="41" t="s">
        <v>17</v>
      </c>
      <c r="B40" t="s">
        <v>98</v>
      </c>
      <c r="C40" s="38">
        <f>C36</f>
        <v>2696000</v>
      </c>
    </row>
    <row r="41" spans="1:4" x14ac:dyDescent="0.25">
      <c r="C41" s="24"/>
    </row>
    <row r="42" spans="1:4" ht="15.75" thickBot="1" x14ac:dyDescent="0.3">
      <c r="B42" t="s">
        <v>99</v>
      </c>
      <c r="C42" s="48">
        <f>C40/C35</f>
        <v>0.40005935598753523</v>
      </c>
    </row>
    <row r="43" spans="1:4" ht="15.75" thickTop="1" x14ac:dyDescent="0.25">
      <c r="C43" s="24"/>
    </row>
    <row r="44" spans="1:4" x14ac:dyDescent="0.25">
      <c r="A44" s="41" t="s">
        <v>23</v>
      </c>
      <c r="B44" t="s">
        <v>41</v>
      </c>
      <c r="C44" s="37">
        <v>28800</v>
      </c>
    </row>
    <row r="45" spans="1:4" x14ac:dyDescent="0.25">
      <c r="A45" s="46" t="s">
        <v>78</v>
      </c>
      <c r="B45" t="s">
        <v>48</v>
      </c>
      <c r="C45" s="38">
        <f>C44*D45/(1+D45)</f>
        <v>5760</v>
      </c>
      <c r="D45" s="2">
        <v>0.25</v>
      </c>
    </row>
    <row r="46" spans="1:4" x14ac:dyDescent="0.25">
      <c r="A46" s="47" t="s">
        <v>79</v>
      </c>
      <c r="B46" t="s">
        <v>20</v>
      </c>
      <c r="C46" s="37">
        <f>C44-C45</f>
        <v>23040</v>
      </c>
    </row>
    <row r="47" spans="1:4" x14ac:dyDescent="0.25">
      <c r="A47" s="46" t="s">
        <v>78</v>
      </c>
      <c r="B47" t="s">
        <v>36</v>
      </c>
      <c r="C47" s="38">
        <f>C46*C42/(1+C42)</f>
        <v>6583.5548489666135</v>
      </c>
    </row>
    <row r="48" spans="1:4" ht="15.75" thickBot="1" x14ac:dyDescent="0.3">
      <c r="A48" s="47" t="s">
        <v>79</v>
      </c>
      <c r="B48" t="s">
        <v>76</v>
      </c>
      <c r="C48" s="39">
        <f>C46-C47</f>
        <v>16456.445151033386</v>
      </c>
    </row>
    <row r="49" spans="1:4" ht="15.75" thickTop="1" x14ac:dyDescent="0.25">
      <c r="C49" s="24"/>
    </row>
    <row r="50" spans="1:4" ht="15.75" thickBot="1" x14ac:dyDescent="0.3">
      <c r="A50" s="41" t="s">
        <v>100</v>
      </c>
      <c r="B50" t="s">
        <v>101</v>
      </c>
      <c r="C50" s="42">
        <f>C47</f>
        <v>6583.5548489666135</v>
      </c>
    </row>
    <row r="51" spans="1:4" ht="15.75" thickTop="1" x14ac:dyDescent="0.25">
      <c r="C51" s="24"/>
    </row>
    <row r="52" spans="1:4" x14ac:dyDescent="0.25">
      <c r="A52" s="41" t="s">
        <v>102</v>
      </c>
      <c r="B52" t="s">
        <v>103</v>
      </c>
      <c r="C52" s="37">
        <f>22990</f>
        <v>22990</v>
      </c>
    </row>
    <row r="53" spans="1:4" x14ac:dyDescent="0.25">
      <c r="A53" s="46" t="s">
        <v>78</v>
      </c>
      <c r="B53" t="s">
        <v>48</v>
      </c>
      <c r="C53" s="38">
        <f>C52*D53/(1+D53)</f>
        <v>4598</v>
      </c>
      <c r="D53" s="2">
        <v>0.25</v>
      </c>
    </row>
    <row r="54" spans="1:4" x14ac:dyDescent="0.25">
      <c r="A54" s="46"/>
      <c r="B54" t="s">
        <v>20</v>
      </c>
      <c r="C54" s="37">
        <f>C52-C53</f>
        <v>18392</v>
      </c>
    </row>
    <row r="55" spans="1:4" x14ac:dyDescent="0.25">
      <c r="A55" s="46" t="s">
        <v>78</v>
      </c>
      <c r="B55" t="s">
        <v>58</v>
      </c>
      <c r="C55" s="38">
        <f>C48</f>
        <v>16456.445151033386</v>
      </c>
    </row>
    <row r="56" spans="1:4" ht="15.75" thickBot="1" x14ac:dyDescent="0.3">
      <c r="A56" s="47" t="s">
        <v>79</v>
      </c>
      <c r="B56" t="s">
        <v>81</v>
      </c>
      <c r="C56" s="39">
        <f>C54-C55</f>
        <v>1935.5548489666144</v>
      </c>
    </row>
    <row r="57" spans="1:4" ht="15.75" thickTop="1" x14ac:dyDescent="0.25">
      <c r="C57" s="24"/>
    </row>
    <row r="58" spans="1:4" x14ac:dyDescent="0.25">
      <c r="C58" s="24"/>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82"/>
  <sheetViews>
    <sheetView workbookViewId="0">
      <selection activeCell="E18" sqref="E18"/>
    </sheetView>
  </sheetViews>
  <sheetFormatPr baseColWidth="10" defaultRowHeight="15" x14ac:dyDescent="0.25"/>
  <cols>
    <col min="1" max="1" width="28.42578125" bestFit="1" customWidth="1"/>
    <col min="2" max="2" width="15.42578125" style="24" bestFit="1" customWidth="1"/>
  </cols>
  <sheetData>
    <row r="5" spans="1:1" ht="18.75" x14ac:dyDescent="0.3">
      <c r="A5" s="99" t="s">
        <v>282</v>
      </c>
    </row>
    <row r="6" spans="1:1" ht="15.75" x14ac:dyDescent="0.25">
      <c r="A6" s="112"/>
    </row>
    <row r="7" spans="1:1" ht="15.75" x14ac:dyDescent="0.25">
      <c r="A7" s="113" t="s">
        <v>281</v>
      </c>
    </row>
    <row r="8" spans="1:1" ht="15.75" x14ac:dyDescent="0.25">
      <c r="A8" s="112"/>
    </row>
    <row r="19" spans="1:3" x14ac:dyDescent="0.25">
      <c r="A19" s="16" t="s">
        <v>254</v>
      </c>
    </row>
    <row r="21" spans="1:3" x14ac:dyDescent="0.25">
      <c r="A21" t="s">
        <v>203</v>
      </c>
      <c r="B21" s="61">
        <v>41688000</v>
      </c>
    </row>
    <row r="22" spans="1:3" x14ac:dyDescent="0.25">
      <c r="A22" t="s">
        <v>211</v>
      </c>
      <c r="B22" s="62">
        <v>23674000</v>
      </c>
    </row>
    <row r="23" spans="1:3" x14ac:dyDescent="0.25">
      <c r="A23" t="s">
        <v>204</v>
      </c>
      <c r="B23" s="72">
        <f>B21-B22</f>
        <v>18014000</v>
      </c>
    </row>
    <row r="25" spans="1:3" x14ac:dyDescent="0.25">
      <c r="A25" t="s">
        <v>43</v>
      </c>
      <c r="B25" s="71">
        <f>B23/B22</f>
        <v>0.76091915181211456</v>
      </c>
    </row>
    <row r="26" spans="1:3" x14ac:dyDescent="0.25">
      <c r="A26" t="s">
        <v>207</v>
      </c>
    </row>
    <row r="27" spans="1:3" x14ac:dyDescent="0.25">
      <c r="A27" t="s">
        <v>205</v>
      </c>
      <c r="B27" s="71">
        <f>B23/B21</f>
        <v>0.43211475724429094</v>
      </c>
      <c r="C27" t="s">
        <v>206</v>
      </c>
    </row>
    <row r="29" spans="1:3" x14ac:dyDescent="0.25">
      <c r="A29" t="s">
        <v>76</v>
      </c>
      <c r="B29" s="61">
        <v>2500</v>
      </c>
    </row>
    <row r="30" spans="1:3" x14ac:dyDescent="0.25">
      <c r="A30" t="s">
        <v>208</v>
      </c>
      <c r="B30" s="62">
        <f>B29*B25</f>
        <v>1902.2978795302863</v>
      </c>
    </row>
    <row r="31" spans="1:3" x14ac:dyDescent="0.25">
      <c r="A31" t="s">
        <v>20</v>
      </c>
      <c r="B31" s="61">
        <f>B29+B30</f>
        <v>4402.2978795302861</v>
      </c>
    </row>
    <row r="32" spans="1:3" x14ac:dyDescent="0.25">
      <c r="A32" t="s">
        <v>209</v>
      </c>
      <c r="B32" s="62">
        <f>B31*0.25</f>
        <v>1100.5744698825715</v>
      </c>
    </row>
    <row r="33" spans="1:2" ht="15.75" thickBot="1" x14ac:dyDescent="0.3">
      <c r="A33" t="s">
        <v>210</v>
      </c>
      <c r="B33" s="63">
        <f>B31+B32</f>
        <v>5502.8723494128571</v>
      </c>
    </row>
    <row r="34" spans="1:2" ht="15.75" thickTop="1" x14ac:dyDescent="0.25"/>
    <row r="35" spans="1:2" x14ac:dyDescent="0.25">
      <c r="A35" s="98" t="s">
        <v>280</v>
      </c>
    </row>
    <row r="37" spans="1:2" x14ac:dyDescent="0.25">
      <c r="A37" t="s">
        <v>212</v>
      </c>
    </row>
    <row r="38" spans="1:2" x14ac:dyDescent="0.25">
      <c r="A38" t="s">
        <v>64</v>
      </c>
      <c r="B38" s="61">
        <v>11476000</v>
      </c>
    </row>
    <row r="39" spans="1:2" x14ac:dyDescent="0.25">
      <c r="A39" t="s">
        <v>213</v>
      </c>
      <c r="B39" s="61">
        <v>95000</v>
      </c>
    </row>
    <row r="40" spans="1:2" x14ac:dyDescent="0.25">
      <c r="A40" t="s">
        <v>66</v>
      </c>
      <c r="B40" s="61">
        <v>4807000</v>
      </c>
    </row>
    <row r="41" spans="1:2" x14ac:dyDescent="0.25">
      <c r="A41" t="s">
        <v>214</v>
      </c>
      <c r="B41" s="62">
        <v>195000</v>
      </c>
    </row>
    <row r="42" spans="1:2" x14ac:dyDescent="0.25">
      <c r="A42" t="s">
        <v>92</v>
      </c>
      <c r="B42" s="72">
        <f>SUM(B38:B41)</f>
        <v>16573000</v>
      </c>
    </row>
    <row r="44" spans="1:2" x14ac:dyDescent="0.25">
      <c r="A44" t="s">
        <v>104</v>
      </c>
      <c r="B44" s="24">
        <f>B22</f>
        <v>23674000</v>
      </c>
    </row>
    <row r="45" spans="1:2" x14ac:dyDescent="0.25">
      <c r="A45" t="s">
        <v>215</v>
      </c>
      <c r="B45" s="25">
        <f>B42</f>
        <v>16573000</v>
      </c>
    </row>
    <row r="46" spans="1:2" x14ac:dyDescent="0.25">
      <c r="A46" t="s">
        <v>216</v>
      </c>
      <c r="B46" s="26">
        <f>B44+B45</f>
        <v>40247000</v>
      </c>
    </row>
    <row r="48" spans="1:2" x14ac:dyDescent="0.25">
      <c r="A48" t="s">
        <v>62</v>
      </c>
      <c r="B48" s="24">
        <f>B21</f>
        <v>41688000</v>
      </c>
    </row>
    <row r="49" spans="1:2" x14ac:dyDescent="0.25">
      <c r="A49" t="s">
        <v>217</v>
      </c>
      <c r="B49" s="25">
        <f>B46</f>
        <v>40247000</v>
      </c>
    </row>
    <row r="50" spans="1:2" x14ac:dyDescent="0.25">
      <c r="A50" t="s">
        <v>218</v>
      </c>
      <c r="B50" s="26">
        <f>B48-B49</f>
        <v>1441000</v>
      </c>
    </row>
    <row r="52" spans="1:2" x14ac:dyDescent="0.25">
      <c r="A52" t="s">
        <v>69</v>
      </c>
      <c r="B52" s="71">
        <f>B42/B44</f>
        <v>0.70005068851905039</v>
      </c>
    </row>
    <row r="53" spans="1:2" x14ac:dyDescent="0.25">
      <c r="A53" t="s">
        <v>219</v>
      </c>
      <c r="B53" s="71">
        <f>B50/B46</f>
        <v>3.5803910850498173E-2</v>
      </c>
    </row>
    <row r="55" spans="1:2" x14ac:dyDescent="0.25">
      <c r="A55" t="s">
        <v>220</v>
      </c>
    </row>
    <row r="56" spans="1:2" x14ac:dyDescent="0.25">
      <c r="A56" t="s">
        <v>76</v>
      </c>
      <c r="B56" s="24">
        <v>2500</v>
      </c>
    </row>
    <row r="57" spans="1:2" x14ac:dyDescent="0.25">
      <c r="A57" t="s">
        <v>221</v>
      </c>
      <c r="B57" s="25">
        <f>B56*B52</f>
        <v>1750.1267212976259</v>
      </c>
    </row>
    <row r="58" spans="1:2" x14ac:dyDescent="0.25">
      <c r="A58" t="s">
        <v>222</v>
      </c>
      <c r="B58" s="73">
        <f>B56+B57</f>
        <v>4250.1267212976254</v>
      </c>
    </row>
    <row r="59" spans="1:2" x14ac:dyDescent="0.25">
      <c r="A59" t="s">
        <v>223</v>
      </c>
      <c r="B59" s="25">
        <f>B58*B53</f>
        <v>152.17115823266028</v>
      </c>
    </row>
    <row r="60" spans="1:2" x14ac:dyDescent="0.25">
      <c r="A60" t="s">
        <v>224</v>
      </c>
      <c r="B60" s="24">
        <f>B58+B59</f>
        <v>4402.2978795302861</v>
      </c>
    </row>
    <row r="61" spans="1:2" x14ac:dyDescent="0.25">
      <c r="A61" t="s">
        <v>209</v>
      </c>
      <c r="B61" s="25">
        <f>B60*0.25</f>
        <v>1100.5744698825715</v>
      </c>
    </row>
    <row r="62" spans="1:2" ht="15.75" thickBot="1" x14ac:dyDescent="0.3">
      <c r="A62" t="s">
        <v>225</v>
      </c>
      <c r="B62" s="28">
        <f>B60+B61</f>
        <v>5502.8723494128571</v>
      </c>
    </row>
    <row r="63" spans="1:2" ht="15.75" thickTop="1" x14ac:dyDescent="0.25"/>
    <row r="72" spans="1:2" x14ac:dyDescent="0.25">
      <c r="A72" t="s">
        <v>226</v>
      </c>
    </row>
    <row r="74" spans="1:2" x14ac:dyDescent="0.25">
      <c r="A74" t="s">
        <v>41</v>
      </c>
      <c r="B74" s="74">
        <v>3500</v>
      </c>
    </row>
    <row r="75" spans="1:2" x14ac:dyDescent="0.25">
      <c r="A75" t="s">
        <v>34</v>
      </c>
      <c r="B75" s="75">
        <v>0.25</v>
      </c>
    </row>
    <row r="76" spans="1:2" x14ac:dyDescent="0.25">
      <c r="B76" s="27"/>
    </row>
    <row r="77" spans="1:2" x14ac:dyDescent="0.25">
      <c r="A77" t="s">
        <v>20</v>
      </c>
      <c r="B77" s="61">
        <f>B74/(1+B75)</f>
        <v>2800</v>
      </c>
    </row>
    <row r="78" spans="1:2" x14ac:dyDescent="0.25">
      <c r="A78" t="s">
        <v>76</v>
      </c>
      <c r="B78" s="62">
        <v>2500</v>
      </c>
    </row>
    <row r="79" spans="1:2" x14ac:dyDescent="0.25">
      <c r="A79" t="s">
        <v>227</v>
      </c>
      <c r="B79" s="72">
        <f>B77-B78</f>
        <v>300</v>
      </c>
    </row>
    <row r="81" spans="1:2" x14ac:dyDescent="0.25">
      <c r="A81" t="s">
        <v>43</v>
      </c>
      <c r="B81" s="71">
        <f>B79/B78</f>
        <v>0.12</v>
      </c>
    </row>
    <row r="82" spans="1:2" x14ac:dyDescent="0.25">
      <c r="A82" t="s">
        <v>228</v>
      </c>
      <c r="B82" s="71">
        <f>B79/B77</f>
        <v>0.10714285714285714</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2"/>
  <sheetViews>
    <sheetView workbookViewId="0">
      <selection activeCell="C8" sqref="C8"/>
    </sheetView>
  </sheetViews>
  <sheetFormatPr baseColWidth="10" defaultRowHeight="15" x14ac:dyDescent="0.25"/>
  <cols>
    <col min="1" max="1" width="18.5703125" bestFit="1" customWidth="1"/>
  </cols>
  <sheetData>
    <row r="5" spans="1:2" ht="18.75" x14ac:dyDescent="0.3">
      <c r="A5" s="99" t="s">
        <v>283</v>
      </c>
      <c r="B5" s="16"/>
    </row>
    <row r="6" spans="1:2" x14ac:dyDescent="0.25">
      <c r="A6" s="98"/>
      <c r="B6" s="16"/>
    </row>
    <row r="7" spans="1:2" x14ac:dyDescent="0.25">
      <c r="A7" t="s">
        <v>201</v>
      </c>
    </row>
    <row r="8" spans="1:2" x14ac:dyDescent="0.25">
      <c r="A8" s="80" t="s">
        <v>0</v>
      </c>
    </row>
    <row r="9" spans="1:2" x14ac:dyDescent="0.25">
      <c r="A9" t="s">
        <v>104</v>
      </c>
      <c r="B9" s="1">
        <v>40</v>
      </c>
    </row>
    <row r="10" spans="1:2" x14ac:dyDescent="0.25">
      <c r="A10" t="s">
        <v>4</v>
      </c>
      <c r="B10" s="2">
        <v>2.5</v>
      </c>
    </row>
    <row r="11" spans="1:2" x14ac:dyDescent="0.25">
      <c r="A11" t="s">
        <v>105</v>
      </c>
      <c r="B11" s="2">
        <v>0.2</v>
      </c>
    </row>
    <row r="12" spans="1:2" x14ac:dyDescent="0.25">
      <c r="A12" t="s">
        <v>6</v>
      </c>
      <c r="B12" s="2">
        <v>0.25</v>
      </c>
    </row>
    <row r="14" spans="1:2" x14ac:dyDescent="0.25">
      <c r="A14" s="80" t="s">
        <v>263</v>
      </c>
    </row>
    <row r="15" spans="1:2" x14ac:dyDescent="0.25">
      <c r="A15" t="s">
        <v>104</v>
      </c>
      <c r="B15" s="4">
        <f>B9</f>
        <v>40</v>
      </c>
    </row>
    <row r="16" spans="1:2" x14ac:dyDescent="0.25">
      <c r="A16" t="s">
        <v>4</v>
      </c>
      <c r="B16" s="8">
        <f>B15*B10</f>
        <v>100</v>
      </c>
    </row>
    <row r="17" spans="1:2" x14ac:dyDescent="0.25">
      <c r="A17" t="s">
        <v>16</v>
      </c>
      <c r="B17" s="49">
        <f>SUM(B15:B16)</f>
        <v>140</v>
      </c>
    </row>
    <row r="18" spans="1:2" x14ac:dyDescent="0.25">
      <c r="A18" t="s">
        <v>5</v>
      </c>
      <c r="B18" s="8">
        <f>B17*B11</f>
        <v>28</v>
      </c>
    </row>
    <row r="19" spans="1:2" x14ac:dyDescent="0.25">
      <c r="A19" t="s">
        <v>20</v>
      </c>
      <c r="B19" s="4">
        <f>B17+B18</f>
        <v>168</v>
      </c>
    </row>
    <row r="20" spans="1:2" x14ac:dyDescent="0.25">
      <c r="A20" t="s">
        <v>106</v>
      </c>
      <c r="B20" s="8">
        <f>B19*B12</f>
        <v>42</v>
      </c>
    </row>
    <row r="21" spans="1:2" ht="15.75" thickBot="1" x14ac:dyDescent="0.3">
      <c r="A21" t="s">
        <v>41</v>
      </c>
      <c r="B21" s="5">
        <f>B19+B20</f>
        <v>210</v>
      </c>
    </row>
    <row r="22" spans="1:2" ht="15.75" thickTop="1" x14ac:dyDescent="0.25"/>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D37"/>
  <sheetViews>
    <sheetView workbookViewId="0">
      <selection activeCell="C7" sqref="C7"/>
    </sheetView>
  </sheetViews>
  <sheetFormatPr baseColWidth="10" defaultRowHeight="15" x14ac:dyDescent="0.25"/>
  <cols>
    <col min="2" max="2" width="38.5703125" bestFit="1" customWidth="1"/>
    <col min="3" max="3" width="7.85546875" customWidth="1"/>
  </cols>
  <sheetData>
    <row r="5" spans="1:4" ht="18.75" x14ac:dyDescent="0.3">
      <c r="A5" s="106" t="s">
        <v>284</v>
      </c>
      <c r="B5" s="16"/>
      <c r="D5" s="33"/>
    </row>
    <row r="6" spans="1:4" x14ac:dyDescent="0.25">
      <c r="A6" s="30"/>
      <c r="B6" s="16"/>
      <c r="D6" s="33"/>
    </row>
    <row r="7" spans="1:4" x14ac:dyDescent="0.25">
      <c r="A7" s="114" t="s">
        <v>202</v>
      </c>
      <c r="B7" s="16"/>
      <c r="D7" s="33"/>
    </row>
    <row r="8" spans="1:4" x14ac:dyDescent="0.25">
      <c r="A8" s="40" t="s">
        <v>7</v>
      </c>
      <c r="B8" t="s">
        <v>245</v>
      </c>
      <c r="D8" s="33"/>
    </row>
    <row r="9" spans="1:4" x14ac:dyDescent="0.25">
      <c r="A9" s="30"/>
      <c r="D9" s="33"/>
    </row>
    <row r="10" spans="1:4" x14ac:dyDescent="0.25">
      <c r="B10" t="s">
        <v>107</v>
      </c>
      <c r="D10" s="33">
        <v>75</v>
      </c>
    </row>
    <row r="11" spans="1:4" x14ac:dyDescent="0.25">
      <c r="B11" t="s">
        <v>108</v>
      </c>
      <c r="D11" s="33">
        <v>120</v>
      </c>
    </row>
    <row r="12" spans="1:4" x14ac:dyDescent="0.25">
      <c r="B12" t="s">
        <v>109</v>
      </c>
      <c r="D12" s="34">
        <v>60</v>
      </c>
    </row>
    <row r="13" spans="1:4" x14ac:dyDescent="0.25">
      <c r="B13" t="s">
        <v>110</v>
      </c>
      <c r="D13" s="33">
        <f>SUM(D10:D12)</f>
        <v>255</v>
      </c>
    </row>
    <row r="14" spans="1:4" x14ac:dyDescent="0.25">
      <c r="B14" t="s">
        <v>111</v>
      </c>
      <c r="C14" s="2">
        <v>1.4</v>
      </c>
      <c r="D14" s="34">
        <f>D13*C14</f>
        <v>357</v>
      </c>
    </row>
    <row r="15" spans="1:4" x14ac:dyDescent="0.25">
      <c r="B15" t="s">
        <v>16</v>
      </c>
      <c r="D15" s="50">
        <f>SUM(D13:D14)</f>
        <v>612</v>
      </c>
    </row>
    <row r="16" spans="1:4" x14ac:dyDescent="0.25">
      <c r="A16" s="41"/>
      <c r="D16" s="33"/>
    </row>
    <row r="17" spans="1:4" x14ac:dyDescent="0.25">
      <c r="A17" s="41"/>
      <c r="B17" s="51" t="s">
        <v>112</v>
      </c>
      <c r="D17" s="33">
        <v>756</v>
      </c>
    </row>
    <row r="18" spans="1:4" x14ac:dyDescent="0.25">
      <c r="A18" s="41"/>
      <c r="B18" s="51" t="s">
        <v>113</v>
      </c>
      <c r="C18" s="2">
        <v>0.08</v>
      </c>
      <c r="D18" s="34">
        <f>D17*C18/(1+C18)</f>
        <v>56</v>
      </c>
    </row>
    <row r="19" spans="1:4" x14ac:dyDescent="0.25">
      <c r="A19" s="41"/>
      <c r="B19" t="s">
        <v>114</v>
      </c>
      <c r="D19" s="33">
        <f>D17-D18</f>
        <v>700</v>
      </c>
    </row>
    <row r="20" spans="1:4" x14ac:dyDescent="0.25">
      <c r="A20" s="41"/>
      <c r="B20" s="52" t="s">
        <v>115</v>
      </c>
      <c r="D20" s="34">
        <f>D15</f>
        <v>612</v>
      </c>
    </row>
    <row r="21" spans="1:4" ht="15.75" thickBot="1" x14ac:dyDescent="0.3">
      <c r="A21" s="40" t="s">
        <v>14</v>
      </c>
      <c r="B21" t="s">
        <v>5</v>
      </c>
      <c r="D21" s="36">
        <f>D19-D20</f>
        <v>88</v>
      </c>
    </row>
    <row r="22" spans="1:4" ht="15.75" thickTop="1" x14ac:dyDescent="0.25">
      <c r="A22" s="41"/>
      <c r="D22" s="33"/>
    </row>
    <row r="23" spans="1:4" ht="15.75" thickBot="1" x14ac:dyDescent="0.3">
      <c r="A23" s="41" t="s">
        <v>17</v>
      </c>
      <c r="B23" t="s">
        <v>116</v>
      </c>
      <c r="D23" s="53">
        <f>D19-D13</f>
        <v>445</v>
      </c>
    </row>
    <row r="24" spans="1:4" ht="15.75" thickTop="1" x14ac:dyDescent="0.25">
      <c r="A24" s="41"/>
      <c r="D24" s="33"/>
    </row>
    <row r="25" spans="1:4" x14ac:dyDescent="0.25">
      <c r="A25" s="41" t="s">
        <v>23</v>
      </c>
      <c r="D25" s="33"/>
    </row>
    <row r="26" spans="1:4" x14ac:dyDescent="0.25">
      <c r="A26" s="41"/>
      <c r="D26" s="33"/>
    </row>
    <row r="27" spans="1:4" x14ac:dyDescent="0.25">
      <c r="A27" s="41"/>
      <c r="D27" s="33"/>
    </row>
    <row r="28" spans="1:4" x14ac:dyDescent="0.25">
      <c r="A28" s="41"/>
      <c r="D28" s="33"/>
    </row>
    <row r="29" spans="1:4" x14ac:dyDescent="0.25">
      <c r="D29" s="33"/>
    </row>
    <row r="30" spans="1:4" x14ac:dyDescent="0.25">
      <c r="D30" s="33"/>
    </row>
    <row r="31" spans="1:4" x14ac:dyDescent="0.25">
      <c r="D31" s="33"/>
    </row>
    <row r="32" spans="1:4" x14ac:dyDescent="0.25">
      <c r="D32" s="33"/>
    </row>
    <row r="33" spans="4:4" x14ac:dyDescent="0.25">
      <c r="D33" s="33"/>
    </row>
    <row r="34" spans="4:4" x14ac:dyDescent="0.25">
      <c r="D34" s="33"/>
    </row>
    <row r="35" spans="4:4" x14ac:dyDescent="0.25">
      <c r="D35" s="33"/>
    </row>
    <row r="36" spans="4:4" x14ac:dyDescent="0.25">
      <c r="D36" s="33"/>
    </row>
    <row r="37" spans="4:4" x14ac:dyDescent="0.25">
      <c r="D37" s="33"/>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37"/>
  <sheetViews>
    <sheetView workbookViewId="0">
      <selection activeCell="B7" sqref="B6:B7"/>
    </sheetView>
  </sheetViews>
  <sheetFormatPr baseColWidth="10" defaultRowHeight="15" x14ac:dyDescent="0.25"/>
  <cols>
    <col min="1" max="1" width="6.7109375" customWidth="1"/>
    <col min="2" max="2" width="35.85546875" bestFit="1" customWidth="1"/>
    <col min="3" max="3" width="14.42578125" bestFit="1" customWidth="1"/>
  </cols>
  <sheetData>
    <row r="5" spans="1:3" ht="18.75" x14ac:dyDescent="0.3">
      <c r="A5" s="116" t="s">
        <v>286</v>
      </c>
      <c r="B5" s="16"/>
    </row>
    <row r="6" spans="1:3" x14ac:dyDescent="0.25">
      <c r="A6" s="90"/>
      <c r="B6" s="16"/>
    </row>
    <row r="7" spans="1:3" x14ac:dyDescent="0.25">
      <c r="A7" t="s">
        <v>285</v>
      </c>
    </row>
    <row r="8" spans="1:3" x14ac:dyDescent="0.25">
      <c r="B8" s="80" t="s">
        <v>0</v>
      </c>
    </row>
    <row r="9" spans="1:3" x14ac:dyDescent="0.25">
      <c r="B9" t="s">
        <v>253</v>
      </c>
      <c r="C9">
        <v>5</v>
      </c>
    </row>
    <row r="10" spans="1:3" x14ac:dyDescent="0.25">
      <c r="B10" t="s">
        <v>117</v>
      </c>
      <c r="C10" s="24">
        <v>460000</v>
      </c>
    </row>
    <row r="11" spans="1:3" x14ac:dyDescent="0.25">
      <c r="B11" t="s">
        <v>118</v>
      </c>
      <c r="C11" s="2">
        <v>0.19</v>
      </c>
    </row>
    <row r="12" spans="1:3" x14ac:dyDescent="0.25">
      <c r="B12" t="s">
        <v>4</v>
      </c>
      <c r="C12" s="24">
        <v>1200000</v>
      </c>
    </row>
    <row r="13" spans="1:3" x14ac:dyDescent="0.25">
      <c r="B13" t="s">
        <v>119</v>
      </c>
      <c r="C13" s="24">
        <v>1400</v>
      </c>
    </row>
    <row r="14" spans="1:3" x14ac:dyDescent="0.25">
      <c r="B14" t="s">
        <v>5</v>
      </c>
      <c r="C14" s="2">
        <v>0.12</v>
      </c>
    </row>
    <row r="15" spans="1:3" x14ac:dyDescent="0.25">
      <c r="B15" t="s">
        <v>6</v>
      </c>
      <c r="C15" s="2">
        <v>0.25</v>
      </c>
    </row>
    <row r="17" spans="1:3" x14ac:dyDescent="0.25">
      <c r="B17" s="80" t="s">
        <v>27</v>
      </c>
    </row>
    <row r="18" spans="1:3" x14ac:dyDescent="0.25">
      <c r="A18" t="s">
        <v>7</v>
      </c>
      <c r="B18" t="s">
        <v>120</v>
      </c>
      <c r="C18" s="1">
        <f>C10*C9</f>
        <v>2300000</v>
      </c>
    </row>
    <row r="19" spans="1:3" x14ac:dyDescent="0.25">
      <c r="B19" t="s">
        <v>118</v>
      </c>
      <c r="C19" s="1">
        <f>C18*C11</f>
        <v>437000</v>
      </c>
    </row>
    <row r="20" spans="1:3" x14ac:dyDescent="0.25">
      <c r="B20" t="s">
        <v>4</v>
      </c>
      <c r="C20" s="3">
        <f>C12</f>
        <v>1200000</v>
      </c>
    </row>
    <row r="21" spans="1:3" x14ac:dyDescent="0.25">
      <c r="B21" t="s">
        <v>121</v>
      </c>
      <c r="C21" s="1">
        <f>SUM(C18:C20)</f>
        <v>3937000</v>
      </c>
    </row>
    <row r="22" spans="1:3" x14ac:dyDescent="0.25">
      <c r="B22" t="s">
        <v>5</v>
      </c>
      <c r="C22" s="8">
        <f>C21*C14</f>
        <v>472440</v>
      </c>
    </row>
    <row r="23" spans="1:3" x14ac:dyDescent="0.25">
      <c r="B23" t="s">
        <v>122</v>
      </c>
      <c r="C23" s="18">
        <f>C21+C22</f>
        <v>4409440</v>
      </c>
    </row>
    <row r="25" spans="1:3" x14ac:dyDescent="0.25">
      <c r="B25" t="s">
        <v>123</v>
      </c>
      <c r="C25">
        <f>C9*C13</f>
        <v>7000</v>
      </c>
    </row>
    <row r="27" spans="1:3" x14ac:dyDescent="0.25">
      <c r="B27" t="s">
        <v>124</v>
      </c>
      <c r="C27" s="54">
        <f>C23/C25</f>
        <v>629.91999999999996</v>
      </c>
    </row>
    <row r="28" spans="1:3" x14ac:dyDescent="0.25">
      <c r="B28" t="s">
        <v>125</v>
      </c>
      <c r="C28" s="55">
        <f>C27*C15</f>
        <v>157.47999999999999</v>
      </c>
    </row>
    <row r="29" spans="1:3" ht="15.75" thickBot="1" x14ac:dyDescent="0.3">
      <c r="B29" t="s">
        <v>126</v>
      </c>
      <c r="C29" s="56">
        <f>C27+C28</f>
        <v>787.4</v>
      </c>
    </row>
    <row r="30" spans="1:3" ht="15.75" thickTop="1" x14ac:dyDescent="0.25"/>
    <row r="32" spans="1:3" x14ac:dyDescent="0.25">
      <c r="A32" t="s">
        <v>14</v>
      </c>
      <c r="B32" t="s">
        <v>16</v>
      </c>
      <c r="C32" s="4">
        <f>C21</f>
        <v>3937000</v>
      </c>
    </row>
    <row r="34" spans="2:3" x14ac:dyDescent="0.25">
      <c r="B34" t="s">
        <v>127</v>
      </c>
      <c r="C34" s="54">
        <f>C32/C25</f>
        <v>562.42857142857144</v>
      </c>
    </row>
    <row r="35" spans="2:3" x14ac:dyDescent="0.25">
      <c r="B35" t="s">
        <v>21</v>
      </c>
      <c r="C35" s="55">
        <f>C34*C15</f>
        <v>140.60714285714286</v>
      </c>
    </row>
    <row r="36" spans="2:3" ht="15.75" thickBot="1" x14ac:dyDescent="0.3">
      <c r="B36" t="s">
        <v>128</v>
      </c>
      <c r="C36" s="56">
        <f>SUM(C34:C35)</f>
        <v>703.03571428571433</v>
      </c>
    </row>
    <row r="37" spans="2:3" ht="15.75" thickTop="1" x14ac:dyDescent="0.25"/>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49"/>
  <sheetViews>
    <sheetView workbookViewId="0">
      <selection activeCell="D19" sqref="D18:D19"/>
    </sheetView>
  </sheetViews>
  <sheetFormatPr baseColWidth="10" defaultRowHeight="15" x14ac:dyDescent="0.25"/>
  <cols>
    <col min="1" max="1" width="52.42578125" bestFit="1" customWidth="1"/>
    <col min="2" max="2" width="12" bestFit="1" customWidth="1"/>
  </cols>
  <sheetData>
    <row r="5" spans="1:3" ht="18.75" x14ac:dyDescent="0.3">
      <c r="A5" s="99" t="s">
        <v>288</v>
      </c>
    </row>
    <row r="6" spans="1:3" x14ac:dyDescent="0.25">
      <c r="A6" s="16"/>
    </row>
    <row r="7" spans="1:3" x14ac:dyDescent="0.25">
      <c r="A7" t="s">
        <v>287</v>
      </c>
    </row>
    <row r="8" spans="1:3" x14ac:dyDescent="0.25">
      <c r="A8" s="80" t="s">
        <v>0</v>
      </c>
    </row>
    <row r="9" spans="1:3" x14ac:dyDescent="0.25">
      <c r="A9" t="s">
        <v>129</v>
      </c>
      <c r="B9">
        <v>12</v>
      </c>
    </row>
    <row r="10" spans="1:3" x14ac:dyDescent="0.25">
      <c r="A10" t="s">
        <v>130</v>
      </c>
      <c r="B10">
        <v>2</v>
      </c>
    </row>
    <row r="11" spans="1:3" x14ac:dyDescent="0.25">
      <c r="A11" t="s">
        <v>131</v>
      </c>
      <c r="B11" s="24">
        <v>650000</v>
      </c>
    </row>
    <row r="12" spans="1:3" x14ac:dyDescent="0.25">
      <c r="A12" t="s">
        <v>251</v>
      </c>
      <c r="B12" s="24">
        <v>490000</v>
      </c>
    </row>
    <row r="13" spans="1:3" x14ac:dyDescent="0.25">
      <c r="A13" t="s">
        <v>252</v>
      </c>
      <c r="B13" s="24">
        <v>385000</v>
      </c>
    </row>
    <row r="14" spans="1:3" x14ac:dyDescent="0.25">
      <c r="A14" t="s">
        <v>132</v>
      </c>
      <c r="B14">
        <v>1500</v>
      </c>
      <c r="C14" t="s">
        <v>134</v>
      </c>
    </row>
    <row r="15" spans="1:3" x14ac:dyDescent="0.25">
      <c r="A15" t="s">
        <v>133</v>
      </c>
      <c r="B15">
        <v>500</v>
      </c>
      <c r="C15" t="s">
        <v>134</v>
      </c>
    </row>
    <row r="16" spans="1:3" x14ac:dyDescent="0.25">
      <c r="A16" t="s">
        <v>4</v>
      </c>
      <c r="B16" s="24">
        <v>1800000</v>
      </c>
    </row>
    <row r="17" spans="1:2" x14ac:dyDescent="0.25">
      <c r="A17" t="s">
        <v>135</v>
      </c>
      <c r="B17" s="57">
        <v>0.14099999999999999</v>
      </c>
    </row>
    <row r="18" spans="1:2" x14ac:dyDescent="0.25">
      <c r="A18" t="s">
        <v>105</v>
      </c>
      <c r="B18" s="2">
        <v>0.1</v>
      </c>
    </row>
    <row r="20" spans="1:2" x14ac:dyDescent="0.25">
      <c r="A20" t="s">
        <v>136</v>
      </c>
      <c r="B20" s="24">
        <f>B14*B9</f>
        <v>18000</v>
      </c>
    </row>
    <row r="21" spans="1:2" x14ac:dyDescent="0.25">
      <c r="A21" t="s">
        <v>133</v>
      </c>
      <c r="B21" s="25">
        <f>B15</f>
        <v>500</v>
      </c>
    </row>
    <row r="22" spans="1:2" x14ac:dyDescent="0.25">
      <c r="A22" t="s">
        <v>137</v>
      </c>
      <c r="B22" s="24">
        <f>SUM(B20:B21)</f>
        <v>18500</v>
      </c>
    </row>
    <row r="23" spans="1:2" x14ac:dyDescent="0.25">
      <c r="B23" s="24"/>
    </row>
    <row r="24" spans="1:2" x14ac:dyDescent="0.25">
      <c r="A24" t="s">
        <v>138</v>
      </c>
      <c r="B24" s="24"/>
    </row>
    <row r="25" spans="1:2" x14ac:dyDescent="0.25">
      <c r="A25" t="s">
        <v>139</v>
      </c>
      <c r="B25" s="27">
        <f>B12*B9</f>
        <v>5880000</v>
      </c>
    </row>
    <row r="26" spans="1:2" x14ac:dyDescent="0.25">
      <c r="A26" t="s">
        <v>140</v>
      </c>
      <c r="B26" s="27">
        <f>B11</f>
        <v>650000</v>
      </c>
    </row>
    <row r="27" spans="1:2" x14ac:dyDescent="0.25">
      <c r="A27" t="s">
        <v>141</v>
      </c>
      <c r="B27" s="25">
        <f>B13</f>
        <v>385000</v>
      </c>
    </row>
    <row r="28" spans="1:2" x14ac:dyDescent="0.25">
      <c r="A28" t="s">
        <v>142</v>
      </c>
      <c r="B28" s="24">
        <f>SUM(B25:B27)</f>
        <v>6915000</v>
      </c>
    </row>
    <row r="29" spans="1:2" x14ac:dyDescent="0.25">
      <c r="A29" t="s">
        <v>135</v>
      </c>
      <c r="B29" s="24">
        <f>B28*B17</f>
        <v>975014.99999999988</v>
      </c>
    </row>
    <row r="30" spans="1:2" x14ac:dyDescent="0.25">
      <c r="A30" t="s">
        <v>4</v>
      </c>
      <c r="B30" s="25">
        <f>B16</f>
        <v>1800000</v>
      </c>
    </row>
    <row r="31" spans="1:2" x14ac:dyDescent="0.25">
      <c r="A31" t="s">
        <v>16</v>
      </c>
      <c r="B31" s="27">
        <f>SUM(B28:B30)</f>
        <v>9690015</v>
      </c>
    </row>
    <row r="32" spans="1:2" x14ac:dyDescent="0.25">
      <c r="A32" t="s">
        <v>143</v>
      </c>
      <c r="B32" s="25">
        <f>B31*B18</f>
        <v>969001.5</v>
      </c>
    </row>
    <row r="33" spans="1:2" x14ac:dyDescent="0.25">
      <c r="A33" t="s">
        <v>144</v>
      </c>
      <c r="B33" s="26">
        <f>SUM(B31:B32)</f>
        <v>10659016.5</v>
      </c>
    </row>
    <row r="35" spans="1:2" ht="15.75" thickBot="1" x14ac:dyDescent="0.3">
      <c r="A35" t="s">
        <v>145</v>
      </c>
      <c r="B35" s="59">
        <f>B33/B22</f>
        <v>576.1630540540541</v>
      </c>
    </row>
    <row r="36" spans="1:2" ht="15.75" thickTop="1" x14ac:dyDescent="0.25">
      <c r="B36" s="60"/>
    </row>
    <row r="37" spans="1:2" x14ac:dyDescent="0.25">
      <c r="A37" t="s">
        <v>14</v>
      </c>
    </row>
    <row r="38" spans="1:2" x14ac:dyDescent="0.25">
      <c r="A38" t="s">
        <v>148</v>
      </c>
      <c r="B38" s="24">
        <v>20000</v>
      </c>
    </row>
    <row r="39" spans="1:2" x14ac:dyDescent="0.25">
      <c r="A39" t="s">
        <v>146</v>
      </c>
      <c r="B39" s="25">
        <f>B38*0.2</f>
        <v>4000</v>
      </c>
    </row>
    <row r="40" spans="1:2" x14ac:dyDescent="0.25">
      <c r="A40" t="s">
        <v>147</v>
      </c>
      <c r="B40" s="26">
        <f>B38+B39</f>
        <v>24000</v>
      </c>
    </row>
    <row r="42" spans="1:2" x14ac:dyDescent="0.25">
      <c r="A42" s="16" t="s">
        <v>149</v>
      </c>
    </row>
    <row r="43" spans="1:2" x14ac:dyDescent="0.25">
      <c r="A43" t="s">
        <v>150</v>
      </c>
      <c r="B43" s="61">
        <f>B40</f>
        <v>24000</v>
      </c>
    </row>
    <row r="44" spans="1:2" x14ac:dyDescent="0.25">
      <c r="A44" t="s">
        <v>151</v>
      </c>
      <c r="B44" s="61">
        <f>6*B35</f>
        <v>3456.9783243243246</v>
      </c>
    </row>
    <row r="45" spans="1:2" x14ac:dyDescent="0.25">
      <c r="A45" t="s">
        <v>152</v>
      </c>
      <c r="B45" s="62">
        <v>400</v>
      </c>
    </row>
    <row r="46" spans="1:2" x14ac:dyDescent="0.25">
      <c r="B46" s="61">
        <f>SUM(B43:B45)</f>
        <v>27856.978324324326</v>
      </c>
    </row>
    <row r="47" spans="1:2" x14ac:dyDescent="0.25">
      <c r="A47" t="s">
        <v>21</v>
      </c>
      <c r="B47" s="62">
        <f>B46*0.25</f>
        <v>6964.2445810810814</v>
      </c>
    </row>
    <row r="48" spans="1:2" ht="15.75" thickBot="1" x14ac:dyDescent="0.3">
      <c r="A48" t="s">
        <v>137</v>
      </c>
      <c r="B48" s="63">
        <f>B46+B47</f>
        <v>34821.222905405404</v>
      </c>
    </row>
    <row r="49" ht="15.75" thickTop="1" x14ac:dyDescent="0.25"/>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F44"/>
  <sheetViews>
    <sheetView workbookViewId="0">
      <selection activeCell="D13" sqref="D13"/>
    </sheetView>
  </sheetViews>
  <sheetFormatPr baseColWidth="10" defaultRowHeight="15" x14ac:dyDescent="0.25"/>
  <cols>
    <col min="1" max="1" width="47.85546875" bestFit="1" customWidth="1"/>
  </cols>
  <sheetData>
    <row r="5" spans="1:2" ht="18.75" x14ac:dyDescent="0.3">
      <c r="A5" s="116" t="s">
        <v>290</v>
      </c>
    </row>
    <row r="6" spans="1:2" x14ac:dyDescent="0.25">
      <c r="A6" s="90"/>
    </row>
    <row r="7" spans="1:2" x14ac:dyDescent="0.25">
      <c r="A7" s="115" t="s">
        <v>289</v>
      </c>
    </row>
    <row r="8" spans="1:2" x14ac:dyDescent="0.25">
      <c r="A8" s="80" t="s">
        <v>153</v>
      </c>
    </row>
    <row r="9" spans="1:2" x14ac:dyDescent="0.25">
      <c r="A9" t="s">
        <v>154</v>
      </c>
      <c r="B9">
        <v>3</v>
      </c>
    </row>
    <row r="10" spans="1:2" x14ac:dyDescent="0.25">
      <c r="A10" t="s">
        <v>155</v>
      </c>
      <c r="B10" s="24">
        <v>430000</v>
      </c>
    </row>
    <row r="11" spans="1:2" x14ac:dyDescent="0.25">
      <c r="A11" t="s">
        <v>175</v>
      </c>
      <c r="B11" s="24">
        <v>114000</v>
      </c>
    </row>
    <row r="12" spans="1:2" x14ac:dyDescent="0.25">
      <c r="A12" t="s">
        <v>135</v>
      </c>
      <c r="B12" s="57">
        <v>0.14099999999999999</v>
      </c>
    </row>
    <row r="13" spans="1:2" x14ac:dyDescent="0.25">
      <c r="A13" t="s">
        <v>156</v>
      </c>
      <c r="B13" s="24">
        <v>550000</v>
      </c>
    </row>
    <row r="14" spans="1:2" x14ac:dyDescent="0.25">
      <c r="A14" t="s">
        <v>157</v>
      </c>
      <c r="B14">
        <v>1350</v>
      </c>
    </row>
    <row r="15" spans="1:2" x14ac:dyDescent="0.25">
      <c r="A15" t="s">
        <v>6</v>
      </c>
      <c r="B15" s="2">
        <v>0.25</v>
      </c>
    </row>
    <row r="17" spans="1:6" x14ac:dyDescent="0.25">
      <c r="A17" t="s">
        <v>158</v>
      </c>
      <c r="B17">
        <f>B14*B9</f>
        <v>4050</v>
      </c>
    </row>
    <row r="18" spans="1:6" x14ac:dyDescent="0.25">
      <c r="F18" s="54"/>
    </row>
    <row r="19" spans="1:6" x14ac:dyDescent="0.25">
      <c r="A19" t="s">
        <v>159</v>
      </c>
    </row>
    <row r="20" spans="1:6" x14ac:dyDescent="0.25">
      <c r="A20" t="s">
        <v>160</v>
      </c>
      <c r="B20">
        <f>B10*B9</f>
        <v>1290000</v>
      </c>
    </row>
    <row r="21" spans="1:6" x14ac:dyDescent="0.25">
      <c r="A21" t="s">
        <v>161</v>
      </c>
      <c r="B21" s="24">
        <f>B11</f>
        <v>114000</v>
      </c>
    </row>
    <row r="22" spans="1:6" x14ac:dyDescent="0.25">
      <c r="A22" t="s">
        <v>135</v>
      </c>
      <c r="B22">
        <f>(B20+B21)*B12</f>
        <v>197963.99999999997</v>
      </c>
    </row>
    <row r="23" spans="1:6" x14ac:dyDescent="0.25">
      <c r="A23" t="s">
        <v>162</v>
      </c>
      <c r="B23" s="25">
        <f>B13</f>
        <v>550000</v>
      </c>
    </row>
    <row r="24" spans="1:6" x14ac:dyDescent="0.25">
      <c r="A24" t="s">
        <v>16</v>
      </c>
      <c r="B24" s="58">
        <f>SUM(B20:B23)</f>
        <v>2151964</v>
      </c>
    </row>
    <row r="26" spans="1:6" ht="15.75" thickBot="1" x14ac:dyDescent="0.3">
      <c r="A26" t="s">
        <v>163</v>
      </c>
      <c r="B26" s="76">
        <f>B24/B17</f>
        <v>531.34913580246916</v>
      </c>
    </row>
    <row r="27" spans="1:6" ht="15.75" thickTop="1" x14ac:dyDescent="0.25"/>
    <row r="28" spans="1:6" x14ac:dyDescent="0.25">
      <c r="A28" t="s">
        <v>14</v>
      </c>
    </row>
    <row r="29" spans="1:6" x14ac:dyDescent="0.25">
      <c r="A29" t="s">
        <v>164</v>
      </c>
      <c r="B29" s="77">
        <f>B26</f>
        <v>531.34913580246916</v>
      </c>
    </row>
    <row r="30" spans="1:6" x14ac:dyDescent="0.25">
      <c r="A30" t="s">
        <v>165</v>
      </c>
      <c r="B30" s="78">
        <f>B29*0.2</f>
        <v>106.26982716049383</v>
      </c>
    </row>
    <row r="31" spans="1:6" ht="15.75" thickBot="1" x14ac:dyDescent="0.3">
      <c r="A31" t="s">
        <v>166</v>
      </c>
      <c r="B31" s="79">
        <f>SUM(B29:B30)</f>
        <v>637.618962962963</v>
      </c>
    </row>
    <row r="32" spans="1:6" ht="15.75" thickTop="1" x14ac:dyDescent="0.25"/>
    <row r="33" spans="1:3" x14ac:dyDescent="0.25">
      <c r="A33" t="s">
        <v>167</v>
      </c>
    </row>
    <row r="34" spans="1:3" x14ac:dyDescent="0.25">
      <c r="A34" t="s">
        <v>229</v>
      </c>
      <c r="B34" s="54">
        <f>B31*100</f>
        <v>63761.896296296298</v>
      </c>
    </row>
    <row r="35" spans="1:3" x14ac:dyDescent="0.25">
      <c r="A35" t="s">
        <v>168</v>
      </c>
      <c r="B35" s="62">
        <v>5000</v>
      </c>
    </row>
    <row r="36" spans="1:3" x14ac:dyDescent="0.25">
      <c r="B36" s="54">
        <f>SUM(B34:B35)</f>
        <v>68761.896296296298</v>
      </c>
    </row>
    <row r="37" spans="1:3" x14ac:dyDescent="0.25">
      <c r="A37" t="s">
        <v>169</v>
      </c>
      <c r="B37" s="55">
        <f>B36*0.25</f>
        <v>17190.474074074074</v>
      </c>
    </row>
    <row r="38" spans="1:3" ht="15.75" thickBot="1" x14ac:dyDescent="0.3">
      <c r="A38" t="s">
        <v>57</v>
      </c>
      <c r="B38" s="56">
        <f>SUM(B36:B37)</f>
        <v>85952.370370370365</v>
      </c>
    </row>
    <row r="39" spans="1:3" ht="15.75" thickTop="1" x14ac:dyDescent="0.25"/>
    <row r="40" spans="1:3" x14ac:dyDescent="0.25">
      <c r="A40" t="s">
        <v>17</v>
      </c>
    </row>
    <row r="41" spans="1:3" x14ac:dyDescent="0.25">
      <c r="A41" t="s">
        <v>170</v>
      </c>
      <c r="B41">
        <v>30</v>
      </c>
    </row>
    <row r="42" spans="1:3" x14ac:dyDescent="0.25">
      <c r="A42" t="s">
        <v>171</v>
      </c>
      <c r="B42" s="24">
        <v>6000</v>
      </c>
      <c r="C42" t="s">
        <v>172</v>
      </c>
    </row>
    <row r="43" spans="1:3" x14ac:dyDescent="0.25">
      <c r="A43" t="s">
        <v>174</v>
      </c>
      <c r="B43">
        <f>B42/B41</f>
        <v>200</v>
      </c>
    </row>
    <row r="44" spans="1:3" x14ac:dyDescent="0.25">
      <c r="A44" t="s">
        <v>173</v>
      </c>
      <c r="B44">
        <f>B43/1.25</f>
        <v>160</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31"/>
  <sheetViews>
    <sheetView workbookViewId="0">
      <selection activeCell="A6" sqref="A6"/>
    </sheetView>
  </sheetViews>
  <sheetFormatPr baseColWidth="10" defaultRowHeight="15" x14ac:dyDescent="0.25"/>
  <cols>
    <col min="1" max="1" width="35.7109375" bestFit="1" customWidth="1"/>
  </cols>
  <sheetData>
    <row r="5" spans="1:3" ht="18.75" x14ac:dyDescent="0.3">
      <c r="A5" s="116" t="s">
        <v>292</v>
      </c>
    </row>
    <row r="6" spans="1:3" x14ac:dyDescent="0.25">
      <c r="A6" s="90"/>
    </row>
    <row r="7" spans="1:3" x14ac:dyDescent="0.25">
      <c r="A7" s="115" t="s">
        <v>291</v>
      </c>
    </row>
    <row r="8" spans="1:3" x14ac:dyDescent="0.25">
      <c r="A8" s="80" t="s">
        <v>0</v>
      </c>
    </row>
    <row r="9" spans="1:3" x14ac:dyDescent="0.25">
      <c r="A9" t="s">
        <v>230</v>
      </c>
      <c r="B9">
        <v>220</v>
      </c>
    </row>
    <row r="10" spans="1:3" x14ac:dyDescent="0.25">
      <c r="A10" t="s">
        <v>231</v>
      </c>
      <c r="B10">
        <v>2</v>
      </c>
      <c r="C10" t="s">
        <v>134</v>
      </c>
    </row>
    <row r="11" spans="1:3" x14ac:dyDescent="0.25">
      <c r="A11" t="s">
        <v>232</v>
      </c>
      <c r="B11">
        <v>250</v>
      </c>
    </row>
    <row r="12" spans="1:3" x14ac:dyDescent="0.25">
      <c r="A12" t="s">
        <v>118</v>
      </c>
      <c r="B12" s="2">
        <v>0.4</v>
      </c>
    </row>
    <row r="13" spans="1:3" x14ac:dyDescent="0.25">
      <c r="A13" t="s">
        <v>4</v>
      </c>
      <c r="B13" s="2">
        <v>0.85</v>
      </c>
    </row>
    <row r="14" spans="1:3" x14ac:dyDescent="0.25">
      <c r="A14" t="s">
        <v>5</v>
      </c>
      <c r="B14" s="2">
        <v>0.3</v>
      </c>
    </row>
    <row r="15" spans="1:3" x14ac:dyDescent="0.25">
      <c r="A15" t="s">
        <v>6</v>
      </c>
      <c r="B15" s="2">
        <v>0.25</v>
      </c>
    </row>
    <row r="16" spans="1:3" x14ac:dyDescent="0.25">
      <c r="B16" s="2"/>
    </row>
    <row r="17" spans="1:3" x14ac:dyDescent="0.25">
      <c r="A17" s="80" t="s">
        <v>246</v>
      </c>
      <c r="B17" s="2"/>
    </row>
    <row r="18" spans="1:3" x14ac:dyDescent="0.25">
      <c r="A18" t="s">
        <v>247</v>
      </c>
      <c r="B18" s="1">
        <f>B10*B11</f>
        <v>500</v>
      </c>
    </row>
    <row r="19" spans="1:3" x14ac:dyDescent="0.25">
      <c r="A19" t="s">
        <v>248</v>
      </c>
      <c r="B19" s="3">
        <f>B18*B12</f>
        <v>200</v>
      </c>
    </row>
    <row r="20" spans="1:3" x14ac:dyDescent="0.25">
      <c r="A20" t="s">
        <v>249</v>
      </c>
      <c r="B20" s="18">
        <f>B18+B19</f>
        <v>700</v>
      </c>
    </row>
    <row r="22" spans="1:3" x14ac:dyDescent="0.25">
      <c r="A22" s="80" t="s">
        <v>233</v>
      </c>
    </row>
    <row r="23" spans="1:3" x14ac:dyDescent="0.25">
      <c r="A23" t="s">
        <v>230</v>
      </c>
      <c r="B23" s="1">
        <f>B9</f>
        <v>220</v>
      </c>
    </row>
    <row r="24" spans="1:3" x14ac:dyDescent="0.25">
      <c r="A24" t="s">
        <v>234</v>
      </c>
      <c r="B24" s="81">
        <f>B11*B10*(1+B12)</f>
        <v>700</v>
      </c>
    </row>
    <row r="25" spans="1:3" x14ac:dyDescent="0.25">
      <c r="A25" t="s">
        <v>4</v>
      </c>
      <c r="B25" s="3">
        <f>B24*B13</f>
        <v>595</v>
      </c>
    </row>
    <row r="26" spans="1:3" x14ac:dyDescent="0.25">
      <c r="A26" t="s">
        <v>16</v>
      </c>
      <c r="B26" s="81">
        <f>B23+B24+B25</f>
        <v>1515</v>
      </c>
    </row>
    <row r="27" spans="1:3" x14ac:dyDescent="0.25">
      <c r="A27" t="s">
        <v>5</v>
      </c>
      <c r="B27" s="3">
        <f>B26*B14</f>
        <v>454.5</v>
      </c>
    </row>
    <row r="28" spans="1:3" x14ac:dyDescent="0.25">
      <c r="A28" t="s">
        <v>235</v>
      </c>
      <c r="B28" s="82">
        <f>SUM(B26:B27)</f>
        <v>1969.5</v>
      </c>
    </row>
    <row r="29" spans="1:3" x14ac:dyDescent="0.25">
      <c r="A29" t="s">
        <v>236</v>
      </c>
      <c r="B29" s="3">
        <f>B28*B15</f>
        <v>492.375</v>
      </c>
    </row>
    <row r="30" spans="1:3" ht="15.75" thickBot="1" x14ac:dyDescent="0.3">
      <c r="A30" t="s">
        <v>237</v>
      </c>
      <c r="B30" s="14">
        <f>B28+B29</f>
        <v>2461.875</v>
      </c>
      <c r="C30" t="s">
        <v>250</v>
      </c>
    </row>
    <row r="31" spans="1:3" ht="15.75" thickTop="1" x14ac:dyDescent="0.25"/>
  </sheetData>
  <pageMargins left="0.7" right="0.7" top="0.75" bottom="0.75" header="0.3" footer="0.3"/>
  <pageSetup paperSize="9" orientation="portrait"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19"/>
  <sheetViews>
    <sheetView workbookViewId="0">
      <selection activeCell="B6" sqref="B6"/>
    </sheetView>
  </sheetViews>
  <sheetFormatPr baseColWidth="10" defaultRowHeight="15" x14ac:dyDescent="0.25"/>
  <cols>
    <col min="1" max="1" width="4.7109375" customWidth="1"/>
    <col min="2" max="2" width="28.140625" bestFit="1" customWidth="1"/>
  </cols>
  <sheetData>
    <row r="5" spans="1:3" ht="18.75" x14ac:dyDescent="0.3">
      <c r="A5" s="108" t="s">
        <v>267</v>
      </c>
      <c r="B5" s="109"/>
      <c r="C5" s="109"/>
    </row>
    <row r="6" spans="1:3" x14ac:dyDescent="0.25">
      <c r="B6" s="95"/>
    </row>
    <row r="7" spans="1:3" x14ac:dyDescent="0.25">
      <c r="B7" t="s">
        <v>265</v>
      </c>
    </row>
    <row r="8" spans="1:3" x14ac:dyDescent="0.25">
      <c r="B8" s="80" t="s">
        <v>0</v>
      </c>
      <c r="C8" s="1">
        <v>150</v>
      </c>
    </row>
    <row r="9" spans="1:3" x14ac:dyDescent="0.25">
      <c r="B9" t="s">
        <v>24</v>
      </c>
      <c r="C9" s="2">
        <v>0.25</v>
      </c>
    </row>
    <row r="10" spans="1:3" x14ac:dyDescent="0.25">
      <c r="B10" t="s">
        <v>6</v>
      </c>
      <c r="C10" s="2">
        <v>0.8</v>
      </c>
    </row>
    <row r="11" spans="1:3" x14ac:dyDescent="0.25">
      <c r="B11" t="s">
        <v>25</v>
      </c>
      <c r="C11" s="2">
        <v>0.1</v>
      </c>
    </row>
    <row r="12" spans="1:3" x14ac:dyDescent="0.25">
      <c r="B12" t="s">
        <v>26</v>
      </c>
    </row>
    <row r="14" spans="1:3" x14ac:dyDescent="0.25">
      <c r="B14" s="80" t="s">
        <v>27</v>
      </c>
      <c r="C14" s="1">
        <f>C8/(1+C9)</f>
        <v>120</v>
      </c>
    </row>
    <row r="15" spans="1:3" x14ac:dyDescent="0.25">
      <c r="A15" t="s">
        <v>8</v>
      </c>
      <c r="B15" t="s">
        <v>28</v>
      </c>
      <c r="C15" s="3">
        <f>C14*C10</f>
        <v>96</v>
      </c>
    </row>
    <row r="16" spans="1:3" x14ac:dyDescent="0.25">
      <c r="A16" t="s">
        <v>9</v>
      </c>
      <c r="B16" t="s">
        <v>31</v>
      </c>
      <c r="C16" s="1">
        <f>SUM(C14:C15)</f>
        <v>216</v>
      </c>
    </row>
    <row r="17" spans="1:3" x14ac:dyDescent="0.25">
      <c r="A17" t="s">
        <v>8</v>
      </c>
      <c r="B17" t="s">
        <v>16</v>
      </c>
      <c r="C17" s="3">
        <f>C16*C11</f>
        <v>21.6</v>
      </c>
    </row>
    <row r="18" spans="1:3" ht="15.75" thickBot="1" x14ac:dyDescent="0.3">
      <c r="A18" t="s">
        <v>29</v>
      </c>
      <c r="B18" t="s">
        <v>5</v>
      </c>
      <c r="C18" s="14">
        <f>C16+C17</f>
        <v>237.6</v>
      </c>
    </row>
    <row r="19" spans="1:3" ht="15.75" thickTop="1" x14ac:dyDescent="0.25">
      <c r="B19" t="s">
        <v>20</v>
      </c>
    </row>
  </sheetData>
  <mergeCells count="1">
    <mergeCell ref="A5:C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18"/>
  <sheetViews>
    <sheetView workbookViewId="0">
      <selection activeCell="B6" sqref="B6"/>
    </sheetView>
  </sheetViews>
  <sheetFormatPr baseColWidth="10" defaultRowHeight="15" x14ac:dyDescent="0.25"/>
  <cols>
    <col min="1" max="1" width="4" customWidth="1"/>
    <col min="2" max="2" width="28.7109375" customWidth="1"/>
  </cols>
  <sheetData>
    <row r="5" spans="1:3" ht="18.75" x14ac:dyDescent="0.3">
      <c r="A5" s="99" t="s">
        <v>268</v>
      </c>
    </row>
    <row r="6" spans="1:3" ht="18.75" x14ac:dyDescent="0.3">
      <c r="A6" s="99"/>
    </row>
    <row r="7" spans="1:3" x14ac:dyDescent="0.25">
      <c r="B7" t="s">
        <v>0</v>
      </c>
    </row>
    <row r="8" spans="1:3" x14ac:dyDescent="0.25">
      <c r="B8" t="s">
        <v>32</v>
      </c>
      <c r="C8" s="1">
        <v>30</v>
      </c>
    </row>
    <row r="9" spans="1:3" x14ac:dyDescent="0.25">
      <c r="B9" t="s">
        <v>33</v>
      </c>
      <c r="C9" s="2">
        <v>0.9</v>
      </c>
    </row>
    <row r="10" spans="1:3" x14ac:dyDescent="0.25">
      <c r="B10" t="s">
        <v>34</v>
      </c>
      <c r="C10" s="2">
        <v>0.25</v>
      </c>
    </row>
    <row r="12" spans="1:3" x14ac:dyDescent="0.25">
      <c r="B12" t="s">
        <v>27</v>
      </c>
    </row>
    <row r="13" spans="1:3" x14ac:dyDescent="0.25">
      <c r="B13" t="s">
        <v>35</v>
      </c>
      <c r="C13" s="1">
        <f>C8</f>
        <v>30</v>
      </c>
    </row>
    <row r="14" spans="1:3" x14ac:dyDescent="0.25">
      <c r="B14" t="s">
        <v>36</v>
      </c>
      <c r="C14" s="8">
        <f>C13*C9</f>
        <v>27</v>
      </c>
    </row>
    <row r="15" spans="1:3" x14ac:dyDescent="0.25">
      <c r="A15" t="s">
        <v>8</v>
      </c>
      <c r="B15" t="s">
        <v>18</v>
      </c>
      <c r="C15" s="4">
        <f>SUM(C13:C14)</f>
        <v>57</v>
      </c>
    </row>
    <row r="16" spans="1:3" x14ac:dyDescent="0.25">
      <c r="B16" t="s">
        <v>21</v>
      </c>
      <c r="C16" s="8">
        <f>C15*C10</f>
        <v>14.25</v>
      </c>
    </row>
    <row r="17" spans="1:3" ht="15.75" thickBot="1" x14ac:dyDescent="0.3">
      <c r="A17" t="s">
        <v>8</v>
      </c>
      <c r="B17" t="s">
        <v>22</v>
      </c>
      <c r="C17" s="5">
        <f>SUM(C15:C16)</f>
        <v>71.25</v>
      </c>
    </row>
    <row r="18" spans="1:3" ht="15.75" thickTop="1"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34"/>
  <sheetViews>
    <sheetView workbookViewId="0"/>
  </sheetViews>
  <sheetFormatPr baseColWidth="10" defaultRowHeight="15" x14ac:dyDescent="0.25"/>
  <cols>
    <col min="1" max="1" width="3.85546875" customWidth="1"/>
    <col min="2" max="2" width="25" bestFit="1" customWidth="1"/>
  </cols>
  <sheetData>
    <row r="5" spans="1:3" ht="18.75" x14ac:dyDescent="0.3">
      <c r="A5" s="97" t="s">
        <v>269</v>
      </c>
    </row>
    <row r="7" spans="1:3" x14ac:dyDescent="0.25">
      <c r="B7" s="80" t="s">
        <v>0</v>
      </c>
    </row>
    <row r="8" spans="1:3" x14ac:dyDescent="0.25">
      <c r="B8" t="s">
        <v>37</v>
      </c>
      <c r="C8" s="1">
        <v>50</v>
      </c>
    </row>
    <row r="9" spans="1:3" x14ac:dyDescent="0.25">
      <c r="B9" t="s">
        <v>38</v>
      </c>
      <c r="C9" s="2">
        <v>0.4</v>
      </c>
    </row>
    <row r="10" spans="1:3" x14ac:dyDescent="0.25">
      <c r="B10" t="s">
        <v>5</v>
      </c>
      <c r="C10" s="2">
        <v>0.1</v>
      </c>
    </row>
    <row r="11" spans="1:3" x14ac:dyDescent="0.25">
      <c r="B11" t="s">
        <v>6</v>
      </c>
      <c r="C11" s="15">
        <v>0.15</v>
      </c>
    </row>
    <row r="13" spans="1:3" x14ac:dyDescent="0.25">
      <c r="B13" s="80" t="s">
        <v>27</v>
      </c>
    </row>
    <row r="14" spans="1:3" x14ac:dyDescent="0.25">
      <c r="B14" t="s">
        <v>37</v>
      </c>
      <c r="C14" s="4">
        <f>C8</f>
        <v>50</v>
      </c>
    </row>
    <row r="15" spans="1:3" x14ac:dyDescent="0.25">
      <c r="B15" t="s">
        <v>4</v>
      </c>
      <c r="C15" s="8">
        <f>C14*C9</f>
        <v>20</v>
      </c>
    </row>
    <row r="16" spans="1:3" x14ac:dyDescent="0.25">
      <c r="B16" s="16" t="s">
        <v>16</v>
      </c>
      <c r="C16" s="11">
        <f>C14+C15</f>
        <v>70</v>
      </c>
    </row>
    <row r="17" spans="2:3" x14ac:dyDescent="0.25">
      <c r="B17" t="s">
        <v>39</v>
      </c>
      <c r="C17" s="8">
        <f>C16*C10</f>
        <v>7</v>
      </c>
    </row>
    <row r="18" spans="2:3" x14ac:dyDescent="0.25">
      <c r="B18" s="16" t="s">
        <v>20</v>
      </c>
      <c r="C18" s="11">
        <f>C16+C17</f>
        <v>77</v>
      </c>
    </row>
    <row r="19" spans="2:3" x14ac:dyDescent="0.25">
      <c r="B19" t="s">
        <v>40</v>
      </c>
      <c r="C19" s="8">
        <f>C18*C11</f>
        <v>11.549999999999999</v>
      </c>
    </row>
    <row r="20" spans="2:3" ht="15.75" thickBot="1" x14ac:dyDescent="0.3">
      <c r="B20" s="16" t="s">
        <v>41</v>
      </c>
      <c r="C20" s="13">
        <f>C18+C19</f>
        <v>88.55</v>
      </c>
    </row>
    <row r="21" spans="2:3" ht="15.75" thickTop="1" x14ac:dyDescent="0.25"/>
    <row r="22" spans="2:3" x14ac:dyDescent="0.25">
      <c r="B22" s="16" t="s">
        <v>14</v>
      </c>
    </row>
    <row r="23" spans="2:3" x14ac:dyDescent="0.25">
      <c r="B23" t="s">
        <v>4</v>
      </c>
      <c r="C23" s="4">
        <f>C15</f>
        <v>20</v>
      </c>
    </row>
    <row r="24" spans="2:3" x14ac:dyDescent="0.25">
      <c r="B24" s="17" t="s">
        <v>39</v>
      </c>
      <c r="C24" s="8">
        <f>C17</f>
        <v>7</v>
      </c>
    </row>
    <row r="25" spans="2:3" x14ac:dyDescent="0.25">
      <c r="B25" s="17" t="s">
        <v>42</v>
      </c>
      <c r="C25" s="18">
        <f>C23+C24</f>
        <v>27</v>
      </c>
    </row>
    <row r="27" spans="2:3" ht="15.75" thickBot="1" x14ac:dyDescent="0.3">
      <c r="B27" s="16" t="s">
        <v>43</v>
      </c>
      <c r="C27" s="19">
        <f>C25/C14</f>
        <v>0.54</v>
      </c>
    </row>
    <row r="28" spans="2:3" ht="15.75" thickTop="1" x14ac:dyDescent="0.25"/>
    <row r="30" spans="2:3" x14ac:dyDescent="0.25">
      <c r="B30" t="s">
        <v>44</v>
      </c>
    </row>
    <row r="31" spans="2:3" x14ac:dyDescent="0.25">
      <c r="B31" t="s">
        <v>45</v>
      </c>
    </row>
    <row r="33" spans="2:3" x14ac:dyDescent="0.25">
      <c r="B33" t="s">
        <v>46</v>
      </c>
    </row>
    <row r="34" spans="2:3" x14ac:dyDescent="0.25">
      <c r="B34" t="s">
        <v>47</v>
      </c>
      <c r="C34">
        <v>1.8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F28"/>
  <sheetViews>
    <sheetView workbookViewId="0">
      <selection activeCell="D16" sqref="D15:D16"/>
    </sheetView>
  </sheetViews>
  <sheetFormatPr baseColWidth="10" defaultRowHeight="15" x14ac:dyDescent="0.25"/>
  <cols>
    <col min="1" max="1" width="3.7109375" customWidth="1"/>
    <col min="2" max="2" width="27.140625" bestFit="1" customWidth="1"/>
    <col min="3" max="3" width="13.42578125" customWidth="1"/>
    <col min="4" max="4" width="13.7109375" customWidth="1"/>
    <col min="5" max="5" width="12.42578125" customWidth="1"/>
    <col min="6" max="6" width="12.140625" bestFit="1" customWidth="1"/>
  </cols>
  <sheetData>
    <row r="5" spans="1:6" ht="18.75" x14ac:dyDescent="0.3">
      <c r="A5" s="99" t="s">
        <v>271</v>
      </c>
    </row>
    <row r="6" spans="1:6" x14ac:dyDescent="0.25">
      <c r="A6" s="16"/>
      <c r="B6" t="s">
        <v>270</v>
      </c>
    </row>
    <row r="7" spans="1:6" x14ac:dyDescent="0.25">
      <c r="B7" t="s">
        <v>22</v>
      </c>
      <c r="C7" s="1">
        <v>2750</v>
      </c>
    </row>
    <row r="8" spans="1:6" x14ac:dyDescent="0.25">
      <c r="A8" t="s">
        <v>7</v>
      </c>
      <c r="B8" t="s">
        <v>6</v>
      </c>
      <c r="C8" s="2">
        <v>0.25</v>
      </c>
    </row>
    <row r="9" spans="1:6" x14ac:dyDescent="0.25">
      <c r="B9" t="s">
        <v>33</v>
      </c>
      <c r="C9" s="2">
        <v>1.2</v>
      </c>
    </row>
    <row r="11" spans="1:6" x14ac:dyDescent="0.25">
      <c r="B11" t="s">
        <v>20</v>
      </c>
      <c r="C11" s="1">
        <f>C7/(1+C8)</f>
        <v>2200</v>
      </c>
    </row>
    <row r="12" spans="1:6" x14ac:dyDescent="0.25">
      <c r="C12" s="1"/>
    </row>
    <row r="13" spans="1:6" ht="15.75" thickBot="1" x14ac:dyDescent="0.3">
      <c r="B13" t="s">
        <v>49</v>
      </c>
      <c r="C13" s="20">
        <f>C11/(1+C9)</f>
        <v>999.99999999999989</v>
      </c>
      <c r="D13" t="s">
        <v>59</v>
      </c>
    </row>
    <row r="14" spans="1:6" ht="15.75" thickTop="1" x14ac:dyDescent="0.25"/>
    <row r="16" spans="1:6" ht="30" x14ac:dyDescent="0.25">
      <c r="A16" t="s">
        <v>14</v>
      </c>
      <c r="C16" s="21" t="s">
        <v>50</v>
      </c>
      <c r="D16" s="21" t="s">
        <v>51</v>
      </c>
      <c r="E16" s="21" t="s">
        <v>52</v>
      </c>
      <c r="F16" s="21" t="s">
        <v>57</v>
      </c>
    </row>
    <row r="17" spans="2:6" x14ac:dyDescent="0.25">
      <c r="B17" t="s">
        <v>53</v>
      </c>
      <c r="C17">
        <v>30</v>
      </c>
      <c r="D17">
        <v>15</v>
      </c>
      <c r="E17">
        <v>5</v>
      </c>
      <c r="F17">
        <v>50</v>
      </c>
    </row>
    <row r="18" spans="2:6" x14ac:dyDescent="0.25">
      <c r="B18" t="s">
        <v>54</v>
      </c>
      <c r="C18" s="1">
        <v>2750</v>
      </c>
      <c r="D18" s="1">
        <v>1375</v>
      </c>
      <c r="E18" s="1">
        <v>825</v>
      </c>
      <c r="F18" s="1"/>
    </row>
    <row r="19" spans="2:6" x14ac:dyDescent="0.25">
      <c r="B19" t="s">
        <v>48</v>
      </c>
      <c r="C19" s="3">
        <f>C18/(1+C8)*C8</f>
        <v>550</v>
      </c>
      <c r="D19" s="3">
        <f>D18/(1+C8)*C8</f>
        <v>275</v>
      </c>
      <c r="E19" s="3">
        <f>E18/(1+C8)*C8</f>
        <v>165</v>
      </c>
      <c r="F19" s="1"/>
    </row>
    <row r="20" spans="2:6" x14ac:dyDescent="0.25">
      <c r="B20" t="s">
        <v>55</v>
      </c>
      <c r="C20" s="1">
        <f>C18-C19</f>
        <v>2200</v>
      </c>
      <c r="D20" s="1">
        <f t="shared" ref="D20:E20" si="0">D18-D19</f>
        <v>1100</v>
      </c>
      <c r="E20" s="1">
        <f t="shared" si="0"/>
        <v>660</v>
      </c>
      <c r="F20" s="1"/>
    </row>
    <row r="21" spans="2:6" x14ac:dyDescent="0.25">
      <c r="C21" s="1"/>
      <c r="D21" s="1"/>
      <c r="E21" s="1"/>
      <c r="F21" s="1"/>
    </row>
    <row r="22" spans="2:6" x14ac:dyDescent="0.25">
      <c r="B22" t="s">
        <v>56</v>
      </c>
      <c r="C22" s="1">
        <f>C20*C17</f>
        <v>66000</v>
      </c>
      <c r="D22" s="1">
        <f>D20*D17</f>
        <v>16500</v>
      </c>
      <c r="E22" s="1">
        <f>E20*E17</f>
        <v>3300</v>
      </c>
      <c r="F22" s="1">
        <f>SUM(C22:E22)</f>
        <v>85800</v>
      </c>
    </row>
    <row r="23" spans="2:6" x14ac:dyDescent="0.25">
      <c r="B23" t="s">
        <v>58</v>
      </c>
      <c r="C23" s="1"/>
      <c r="D23" s="1"/>
      <c r="E23" s="1"/>
      <c r="F23" s="3">
        <f>C13*F17</f>
        <v>49999.999999999993</v>
      </c>
    </row>
    <row r="24" spans="2:6" x14ac:dyDescent="0.25">
      <c r="B24" t="s">
        <v>60</v>
      </c>
      <c r="C24" s="1"/>
      <c r="D24" s="1"/>
      <c r="E24" s="1"/>
      <c r="F24" s="22">
        <f>F22-F23</f>
        <v>35800.000000000007</v>
      </c>
    </row>
    <row r="27" spans="2:6" ht="15.75" thickBot="1" x14ac:dyDescent="0.3">
      <c r="B27" t="s">
        <v>61</v>
      </c>
      <c r="F27" s="23">
        <f>F24/F23</f>
        <v>0.7160000000000003</v>
      </c>
    </row>
    <row r="28" spans="2:6" ht="15.75" thickTop="1"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41"/>
  <sheetViews>
    <sheetView workbookViewId="0">
      <selection activeCell="E10" sqref="E10"/>
    </sheetView>
  </sheetViews>
  <sheetFormatPr baseColWidth="10" defaultRowHeight="15" x14ac:dyDescent="0.25"/>
  <cols>
    <col min="2" max="2" width="18.5703125" bestFit="1" customWidth="1"/>
  </cols>
  <sheetData>
    <row r="5" spans="1:3" ht="18" x14ac:dyDescent="0.25">
      <c r="A5" s="100" t="s">
        <v>272</v>
      </c>
    </row>
    <row r="6" spans="1:3" ht="18" x14ac:dyDescent="0.25">
      <c r="A6" s="100"/>
      <c r="B6" s="94" t="s">
        <v>0</v>
      </c>
    </row>
    <row r="7" spans="1:3" x14ac:dyDescent="0.25">
      <c r="A7" s="31"/>
      <c r="B7" t="s">
        <v>76</v>
      </c>
      <c r="C7" s="33">
        <v>80</v>
      </c>
    </row>
    <row r="8" spans="1:3" x14ac:dyDescent="0.25">
      <c r="A8" s="31"/>
      <c r="B8" t="s">
        <v>4</v>
      </c>
      <c r="C8" s="2">
        <v>0.6</v>
      </c>
    </row>
    <row r="9" spans="1:3" x14ac:dyDescent="0.25">
      <c r="A9" s="31"/>
      <c r="B9" t="s">
        <v>5</v>
      </c>
      <c r="C9" s="2">
        <v>0.12</v>
      </c>
    </row>
    <row r="10" spans="1:3" x14ac:dyDescent="0.25">
      <c r="A10" s="31"/>
      <c r="B10" t="s">
        <v>6</v>
      </c>
      <c r="C10" s="2">
        <v>0.25</v>
      </c>
    </row>
    <row r="11" spans="1:3" x14ac:dyDescent="0.25">
      <c r="A11" s="31"/>
    </row>
    <row r="12" spans="1:3" x14ac:dyDescent="0.25">
      <c r="A12" s="31"/>
      <c r="B12" s="94" t="s">
        <v>77</v>
      </c>
    </row>
    <row r="13" spans="1:3" x14ac:dyDescent="0.25">
      <c r="A13" s="31"/>
      <c r="B13" t="str">
        <f>B7</f>
        <v>Inntakskost</v>
      </c>
      <c r="C13" s="33">
        <f>C7</f>
        <v>80</v>
      </c>
    </row>
    <row r="14" spans="1:3" x14ac:dyDescent="0.25">
      <c r="A14" s="41" t="s">
        <v>7</v>
      </c>
      <c r="B14" s="51" t="s">
        <v>31</v>
      </c>
      <c r="C14" s="34">
        <f>C13*C8</f>
        <v>48</v>
      </c>
    </row>
    <row r="15" spans="1:3" x14ac:dyDescent="0.25">
      <c r="A15" s="47" t="s">
        <v>86</v>
      </c>
      <c r="B15" t="s">
        <v>16</v>
      </c>
      <c r="C15" s="33">
        <f>SUM(C13:C14)</f>
        <v>128</v>
      </c>
    </row>
    <row r="16" spans="1:3" x14ac:dyDescent="0.25">
      <c r="A16" s="47" t="s">
        <v>79</v>
      </c>
      <c r="B16" t="s">
        <v>39</v>
      </c>
      <c r="C16" s="34">
        <f>C15*C9</f>
        <v>15.36</v>
      </c>
    </row>
    <row r="17" spans="1:3" x14ac:dyDescent="0.25">
      <c r="A17" s="47" t="s">
        <v>86</v>
      </c>
      <c r="B17" t="s">
        <v>18</v>
      </c>
      <c r="C17" s="33">
        <f>SUM(C15:C16)</f>
        <v>143.36000000000001</v>
      </c>
    </row>
    <row r="18" spans="1:3" x14ac:dyDescent="0.25">
      <c r="A18" s="47" t="s">
        <v>79</v>
      </c>
      <c r="B18" t="s">
        <v>48</v>
      </c>
      <c r="C18" s="34">
        <f>C17*C10</f>
        <v>35.840000000000003</v>
      </c>
    </row>
    <row r="19" spans="1:3" x14ac:dyDescent="0.25">
      <c r="A19" s="47" t="s">
        <v>86</v>
      </c>
      <c r="B19" t="s">
        <v>41</v>
      </c>
      <c r="C19" s="50">
        <f>SUM(C17:C18)</f>
        <v>179.20000000000002</v>
      </c>
    </row>
    <row r="20" spans="1:3" x14ac:dyDescent="0.25">
      <c r="A20" s="47" t="s">
        <v>79</v>
      </c>
    </row>
    <row r="21" spans="1:3" x14ac:dyDescent="0.25">
      <c r="A21" s="31"/>
      <c r="B21" t="s">
        <v>20</v>
      </c>
      <c r="C21" s="33">
        <f>C17</f>
        <v>143.36000000000001</v>
      </c>
    </row>
    <row r="22" spans="1:3" x14ac:dyDescent="0.25">
      <c r="A22" s="85" t="s">
        <v>14</v>
      </c>
      <c r="B22" t="s">
        <v>58</v>
      </c>
      <c r="C22" s="34">
        <f>C13</f>
        <v>80</v>
      </c>
    </row>
    <row r="23" spans="1:3" x14ac:dyDescent="0.25">
      <c r="A23" s="31"/>
      <c r="B23" t="s">
        <v>33</v>
      </c>
      <c r="C23" s="50">
        <f>C21-C22</f>
        <v>63.360000000000014</v>
      </c>
    </row>
    <row r="24" spans="1:3" x14ac:dyDescent="0.25">
      <c r="A24" s="31"/>
    </row>
    <row r="25" spans="1:3" ht="15.75" thickBot="1" x14ac:dyDescent="0.3">
      <c r="A25" s="31"/>
      <c r="B25" t="s">
        <v>43</v>
      </c>
      <c r="C25" s="48">
        <f>C23/C22</f>
        <v>0.79200000000000015</v>
      </c>
    </row>
    <row r="26" spans="1:3" ht="15.75" thickTop="1" x14ac:dyDescent="0.25">
      <c r="A26" s="31"/>
      <c r="C26" s="86"/>
    </row>
    <row r="27" spans="1:3" x14ac:dyDescent="0.25">
      <c r="A27" s="31"/>
      <c r="B27" t="str">
        <f>B19</f>
        <v>Salgspris med mva</v>
      </c>
      <c r="C27" s="33">
        <f>C19</f>
        <v>179.20000000000002</v>
      </c>
    </row>
    <row r="28" spans="1:3" x14ac:dyDescent="0.25">
      <c r="A28" s="41" t="s">
        <v>17</v>
      </c>
      <c r="B28" t="s">
        <v>58</v>
      </c>
      <c r="C28" s="34">
        <f>C13</f>
        <v>80</v>
      </c>
    </row>
    <row r="29" spans="1:3" x14ac:dyDescent="0.25">
      <c r="A29" s="46" t="s">
        <v>78</v>
      </c>
      <c r="B29" t="s">
        <v>197</v>
      </c>
      <c r="C29" s="50">
        <f>C27-C28</f>
        <v>99.200000000000017</v>
      </c>
    </row>
    <row r="30" spans="1:3" x14ac:dyDescent="0.25">
      <c r="A30" s="31"/>
    </row>
    <row r="31" spans="1:3" ht="15.75" thickBot="1" x14ac:dyDescent="0.3">
      <c r="A31" s="31"/>
      <c r="B31" t="s">
        <v>198</v>
      </c>
      <c r="C31" s="70">
        <f>C27/C28</f>
        <v>2.2400000000000002</v>
      </c>
    </row>
    <row r="32" spans="1:3" ht="15.75" thickTop="1" x14ac:dyDescent="0.25">
      <c r="A32" s="31"/>
    </row>
    <row r="33" spans="1:3" x14ac:dyDescent="0.25">
      <c r="A33" s="31"/>
      <c r="B33" s="10"/>
      <c r="C33" s="67"/>
    </row>
    <row r="34" spans="1:3" x14ac:dyDescent="0.25">
      <c r="A34" s="87"/>
      <c r="B34" s="10"/>
      <c r="C34" s="67"/>
    </row>
    <row r="35" spans="1:3" x14ac:dyDescent="0.25">
      <c r="A35" s="88"/>
      <c r="B35" s="10"/>
      <c r="C35" s="67"/>
    </row>
    <row r="36" spans="1:3" x14ac:dyDescent="0.25">
      <c r="A36" s="89"/>
      <c r="B36" s="10"/>
      <c r="C36" s="10"/>
    </row>
    <row r="37" spans="1:3" x14ac:dyDescent="0.25">
      <c r="A37" s="89"/>
      <c r="B37" s="10"/>
      <c r="C37" s="86"/>
    </row>
    <row r="38" spans="1:3" x14ac:dyDescent="0.25">
      <c r="A38" s="89"/>
      <c r="B38" s="10"/>
      <c r="C38" s="10"/>
    </row>
    <row r="39" spans="1:3" x14ac:dyDescent="0.25">
      <c r="A39" s="89"/>
    </row>
    <row r="40" spans="1:3" x14ac:dyDescent="0.25">
      <c r="A40" s="31"/>
    </row>
    <row r="41" spans="1:3" x14ac:dyDescent="0.25">
      <c r="A41" s="3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43"/>
  <sheetViews>
    <sheetView workbookViewId="0">
      <selection activeCell="C6" sqref="C6"/>
    </sheetView>
  </sheetViews>
  <sheetFormatPr baseColWidth="10" defaultRowHeight="15" x14ac:dyDescent="0.25"/>
  <cols>
    <col min="2" max="2" width="27.140625" bestFit="1" customWidth="1"/>
    <col min="3" max="3" width="14.5703125" customWidth="1"/>
  </cols>
  <sheetData>
    <row r="5" spans="1:5" ht="18.75" x14ac:dyDescent="0.3">
      <c r="A5" s="99" t="s">
        <v>274</v>
      </c>
    </row>
    <row r="7" spans="1:5" x14ac:dyDescent="0.25">
      <c r="B7" t="s">
        <v>273</v>
      </c>
    </row>
    <row r="8" spans="1:5" x14ac:dyDescent="0.25">
      <c r="B8" s="80" t="s">
        <v>255</v>
      </c>
      <c r="C8" s="25">
        <v>7800000</v>
      </c>
    </row>
    <row r="9" spans="1:5" x14ac:dyDescent="0.25">
      <c r="B9" s="10" t="s">
        <v>62</v>
      </c>
      <c r="C9" s="27">
        <v>5460000</v>
      </c>
      <c r="E9" s="24"/>
    </row>
    <row r="10" spans="1:5" x14ac:dyDescent="0.25">
      <c r="B10" s="10" t="s">
        <v>63</v>
      </c>
      <c r="C10" s="27">
        <v>1052000</v>
      </c>
    </row>
    <row r="11" spans="1:5" x14ac:dyDescent="0.25">
      <c r="B11" s="10" t="s">
        <v>64</v>
      </c>
      <c r="C11" s="27">
        <v>100000</v>
      </c>
    </row>
    <row r="12" spans="1:5" x14ac:dyDescent="0.25">
      <c r="B12" s="10" t="s">
        <v>65</v>
      </c>
      <c r="C12" s="27">
        <v>600000</v>
      </c>
    </row>
    <row r="13" spans="1:5" x14ac:dyDescent="0.25">
      <c r="B13" s="10" t="s">
        <v>66</v>
      </c>
      <c r="C13" s="25">
        <v>10000</v>
      </c>
    </row>
    <row r="14" spans="1:5" x14ac:dyDescent="0.25">
      <c r="B14" s="10" t="s">
        <v>67</v>
      </c>
      <c r="C14" s="26">
        <v>7222000</v>
      </c>
    </row>
    <row r="15" spans="1:5" x14ac:dyDescent="0.25">
      <c r="B15" s="10" t="s">
        <v>16</v>
      </c>
      <c r="C15" s="24"/>
    </row>
    <row r="17" spans="1:3" x14ac:dyDescent="0.25">
      <c r="A17" t="s">
        <v>68</v>
      </c>
      <c r="B17" s="80" t="s">
        <v>27</v>
      </c>
      <c r="C17" s="24">
        <v>1052000</v>
      </c>
    </row>
    <row r="18" spans="1:3" x14ac:dyDescent="0.25">
      <c r="B18" t="s">
        <v>64</v>
      </c>
      <c r="C18" s="24">
        <v>100000</v>
      </c>
    </row>
    <row r="19" spans="1:3" x14ac:dyDescent="0.25">
      <c r="B19" t="s">
        <v>65</v>
      </c>
      <c r="C19" s="24">
        <v>600000</v>
      </c>
    </row>
    <row r="20" spans="1:3" x14ac:dyDescent="0.25">
      <c r="B20" t="s">
        <v>66</v>
      </c>
      <c r="C20" s="25">
        <v>10000</v>
      </c>
    </row>
    <row r="21" spans="1:3" x14ac:dyDescent="0.25">
      <c r="B21" t="s">
        <v>67</v>
      </c>
      <c r="C21" s="26">
        <f>SUM(C17:C20)</f>
        <v>1762000</v>
      </c>
    </row>
    <row r="22" spans="1:3" x14ac:dyDescent="0.25">
      <c r="B22" t="s">
        <v>4</v>
      </c>
    </row>
    <row r="23" spans="1:3" ht="15.75" thickBot="1" x14ac:dyDescent="0.3">
      <c r="C23" s="23">
        <f>C21/C9</f>
        <v>0.32271062271062273</v>
      </c>
    </row>
    <row r="24" spans="1:3" ht="15.75" thickTop="1" x14ac:dyDescent="0.25">
      <c r="B24" t="s">
        <v>69</v>
      </c>
    </row>
    <row r="25" spans="1:3" x14ac:dyDescent="0.25">
      <c r="A25" t="s">
        <v>70</v>
      </c>
      <c r="C25" s="27">
        <v>7800000</v>
      </c>
    </row>
    <row r="26" spans="1:3" x14ac:dyDescent="0.25">
      <c r="B26" s="10" t="s">
        <v>62</v>
      </c>
      <c r="C26" s="25">
        <f>C14</f>
        <v>7222000</v>
      </c>
    </row>
    <row r="27" spans="1:3" ht="15.75" thickBot="1" x14ac:dyDescent="0.3">
      <c r="B27" s="10" t="s">
        <v>16</v>
      </c>
      <c r="C27" s="28">
        <f>C25-C26</f>
        <v>578000</v>
      </c>
    </row>
    <row r="28" spans="1:3" ht="15.75" thickTop="1" x14ac:dyDescent="0.25">
      <c r="B28" s="12" t="s">
        <v>5</v>
      </c>
    </row>
    <row r="29" spans="1:3" ht="15.75" thickBot="1" x14ac:dyDescent="0.3">
      <c r="C29" s="23">
        <f>C27/C26</f>
        <v>8.0033231791747442E-2</v>
      </c>
    </row>
    <row r="30" spans="1:3" ht="15.75" thickTop="1" x14ac:dyDescent="0.25">
      <c r="B30" t="s">
        <v>71</v>
      </c>
    </row>
    <row r="32" spans="1:3" x14ac:dyDescent="0.25">
      <c r="A32" t="s">
        <v>14</v>
      </c>
      <c r="C32" s="1">
        <v>120</v>
      </c>
    </row>
    <row r="33" spans="1:4" x14ac:dyDescent="0.25">
      <c r="B33" t="s">
        <v>72</v>
      </c>
      <c r="C33" s="8">
        <f>C32*C23</f>
        <v>38.72527472527473</v>
      </c>
    </row>
    <row r="34" spans="1:4" x14ac:dyDescent="0.25">
      <c r="B34" t="s">
        <v>73</v>
      </c>
      <c r="C34" s="4">
        <f>SUM(C32:C33)</f>
        <v>158.72527472527474</v>
      </c>
    </row>
    <row r="35" spans="1:4" x14ac:dyDescent="0.25">
      <c r="B35" t="s">
        <v>16</v>
      </c>
      <c r="C35" s="8">
        <f>C34*C29</f>
        <v>12.703296703296706</v>
      </c>
    </row>
    <row r="36" spans="1:4" x14ac:dyDescent="0.25">
      <c r="B36" t="s">
        <v>74</v>
      </c>
      <c r="C36" s="4">
        <f>SUM(C34:C35)</f>
        <v>171.42857142857144</v>
      </c>
    </row>
    <row r="37" spans="1:4" x14ac:dyDescent="0.25">
      <c r="B37" t="s">
        <v>20</v>
      </c>
      <c r="C37" s="8">
        <f>C36*0.25</f>
        <v>42.857142857142861</v>
      </c>
    </row>
    <row r="38" spans="1:4" ht="15.75" thickBot="1" x14ac:dyDescent="0.3">
      <c r="B38" t="s">
        <v>21</v>
      </c>
      <c r="C38" s="5">
        <f>C36+C37</f>
        <v>214.28571428571431</v>
      </c>
      <c r="D38" s="29">
        <v>214</v>
      </c>
    </row>
    <row r="39" spans="1:4" ht="15.75" thickTop="1" x14ac:dyDescent="0.25">
      <c r="B39" t="s">
        <v>22</v>
      </c>
    </row>
    <row r="40" spans="1:4" ht="15.75" thickBot="1" x14ac:dyDescent="0.3">
      <c r="A40" t="s">
        <v>17</v>
      </c>
      <c r="C40" s="7">
        <f>C36-C32</f>
        <v>51.428571428571445</v>
      </c>
      <c r="D40" s="29">
        <v>51.5</v>
      </c>
    </row>
    <row r="41" spans="1:4" ht="15.75" thickTop="1" x14ac:dyDescent="0.25">
      <c r="B41" t="s">
        <v>75</v>
      </c>
    </row>
    <row r="42" spans="1:4" ht="15.75" thickBot="1" x14ac:dyDescent="0.3">
      <c r="C42" s="23">
        <f>C40/C32</f>
        <v>0.42857142857142871</v>
      </c>
    </row>
    <row r="43" spans="1:4" ht="15.75" thickTop="1" x14ac:dyDescent="0.25">
      <c r="B43" t="s">
        <v>43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48"/>
  <sheetViews>
    <sheetView workbookViewId="0"/>
  </sheetViews>
  <sheetFormatPr baseColWidth="10" defaultRowHeight="15" x14ac:dyDescent="0.25"/>
  <cols>
    <col min="1" max="1" width="41.140625" bestFit="1" customWidth="1"/>
    <col min="2" max="2" width="12.42578125" bestFit="1" customWidth="1"/>
    <col min="3" max="3" width="8.5703125" customWidth="1"/>
    <col min="4" max="4" width="39.42578125" bestFit="1" customWidth="1"/>
  </cols>
  <sheetData>
    <row r="5" spans="1:5" ht="18" x14ac:dyDescent="0.25">
      <c r="A5" s="100" t="s">
        <v>276</v>
      </c>
      <c r="C5" s="46"/>
    </row>
    <row r="6" spans="1:5" x14ac:dyDescent="0.25">
      <c r="A6" s="30"/>
      <c r="C6" s="46"/>
    </row>
    <row r="7" spans="1:5" x14ac:dyDescent="0.25">
      <c r="A7" s="105" t="s">
        <v>275</v>
      </c>
      <c r="C7" s="46"/>
    </row>
    <row r="8" spans="1:5" x14ac:dyDescent="0.25">
      <c r="A8" s="30" t="s">
        <v>239</v>
      </c>
      <c r="C8" s="64" t="s">
        <v>100</v>
      </c>
    </row>
    <row r="9" spans="1:5" x14ac:dyDescent="0.25">
      <c r="A9" t="s">
        <v>62</v>
      </c>
      <c r="B9" s="37">
        <v>6480000</v>
      </c>
      <c r="C9" s="46"/>
      <c r="D9" s="32" t="s">
        <v>0</v>
      </c>
    </row>
    <row r="10" spans="1:5" x14ac:dyDescent="0.25">
      <c r="A10" s="52" t="s">
        <v>176</v>
      </c>
      <c r="B10" s="38">
        <v>3960000</v>
      </c>
      <c r="C10" s="46"/>
      <c r="D10" t="s">
        <v>177</v>
      </c>
      <c r="E10" s="37">
        <v>6240</v>
      </c>
    </row>
    <row r="11" spans="1:5" ht="15.75" thickBot="1" x14ac:dyDescent="0.3">
      <c r="A11" s="104" t="s">
        <v>178</v>
      </c>
      <c r="B11" s="39">
        <f>B9-B10</f>
        <v>2520000</v>
      </c>
      <c r="C11" s="46"/>
      <c r="D11" s="51" t="s">
        <v>179</v>
      </c>
      <c r="E11">
        <f>90</f>
        <v>90</v>
      </c>
    </row>
    <row r="12" spans="1:5" ht="15.75" thickTop="1" x14ac:dyDescent="0.25">
      <c r="C12" s="46"/>
      <c r="D12" t="s">
        <v>180</v>
      </c>
      <c r="E12" s="37">
        <v>860</v>
      </c>
    </row>
    <row r="13" spans="1:5" ht="15.75" thickBot="1" x14ac:dyDescent="0.3">
      <c r="A13" t="s">
        <v>181</v>
      </c>
      <c r="B13" s="48">
        <f>B11/B10</f>
        <v>0.63636363636363635</v>
      </c>
      <c r="C13" s="46"/>
      <c r="D13" t="s">
        <v>4</v>
      </c>
      <c r="E13" s="65">
        <f>B25</f>
        <v>0.56128787878787878</v>
      </c>
    </row>
    <row r="14" spans="1:5" ht="16.5" thickTop="1" thickBot="1" x14ac:dyDescent="0.3">
      <c r="A14" s="104" t="s">
        <v>182</v>
      </c>
      <c r="B14" s="66">
        <f>B11/B9</f>
        <v>0.3888888888888889</v>
      </c>
      <c r="C14" s="46"/>
      <c r="D14" t="s">
        <v>5</v>
      </c>
      <c r="E14" s="65">
        <f>B36</f>
        <v>4.8085787762627979E-2</v>
      </c>
    </row>
    <row r="15" spans="1:5" ht="15.75" thickTop="1" x14ac:dyDescent="0.25">
      <c r="A15" s="30" t="s">
        <v>14</v>
      </c>
      <c r="C15" s="46"/>
      <c r="D15" t="s">
        <v>6</v>
      </c>
      <c r="E15" s="2">
        <v>0.25</v>
      </c>
    </row>
    <row r="16" spans="1:5" x14ac:dyDescent="0.25">
      <c r="A16" t="s">
        <v>64</v>
      </c>
      <c r="B16" s="37">
        <v>746000</v>
      </c>
      <c r="C16" s="46"/>
      <c r="E16" s="2"/>
    </row>
    <row r="17" spans="1:7" x14ac:dyDescent="0.25">
      <c r="A17" t="s">
        <v>66</v>
      </c>
      <c r="B17" s="37">
        <v>884300</v>
      </c>
      <c r="C17" s="46"/>
    </row>
    <row r="18" spans="1:7" x14ac:dyDescent="0.25">
      <c r="A18" s="51" t="s">
        <v>67</v>
      </c>
      <c r="B18" s="37">
        <v>48200</v>
      </c>
      <c r="C18" s="46"/>
      <c r="D18" s="32" t="s">
        <v>77</v>
      </c>
    </row>
    <row r="19" spans="1:7" x14ac:dyDescent="0.25">
      <c r="A19" t="s">
        <v>65</v>
      </c>
      <c r="B19" s="37">
        <v>109100</v>
      </c>
      <c r="C19" s="46"/>
      <c r="D19" t="s">
        <v>184</v>
      </c>
      <c r="E19" s="37">
        <f>E10</f>
        <v>6240</v>
      </c>
    </row>
    <row r="20" spans="1:7" x14ac:dyDescent="0.25">
      <c r="A20" t="s">
        <v>91</v>
      </c>
      <c r="B20" s="37">
        <v>326000</v>
      </c>
      <c r="C20" s="46"/>
      <c r="D20" t="str">
        <f>D12</f>
        <v>Direkte innkjøpskostnader</v>
      </c>
      <c r="E20" s="38">
        <f>E12</f>
        <v>860</v>
      </c>
    </row>
    <row r="21" spans="1:7" x14ac:dyDescent="0.25">
      <c r="A21" t="s">
        <v>185</v>
      </c>
      <c r="B21" s="37">
        <v>62800</v>
      </c>
      <c r="C21" s="46"/>
      <c r="D21" s="51" t="s">
        <v>186</v>
      </c>
      <c r="E21" s="44">
        <f>SUM(E19:E20)</f>
        <v>7100</v>
      </c>
    </row>
    <row r="22" spans="1:7" x14ac:dyDescent="0.25">
      <c r="A22" t="s">
        <v>238</v>
      </c>
      <c r="B22" s="37">
        <v>46300</v>
      </c>
      <c r="C22" s="46"/>
    </row>
    <row r="23" spans="1:7" ht="15.75" thickBot="1" x14ac:dyDescent="0.3">
      <c r="A23" t="s">
        <v>92</v>
      </c>
      <c r="B23" s="39">
        <f>SUM(B16:B22)</f>
        <v>2222700</v>
      </c>
      <c r="C23" s="46"/>
      <c r="D23" s="51" t="s">
        <v>187</v>
      </c>
      <c r="E23" s="33">
        <f>E21/E11</f>
        <v>78.888888888888886</v>
      </c>
    </row>
    <row r="24" spans="1:7" ht="15.75" thickTop="1" x14ac:dyDescent="0.25">
      <c r="B24" s="67"/>
      <c r="C24" s="47" t="s">
        <v>86</v>
      </c>
      <c r="D24" t="s">
        <v>31</v>
      </c>
      <c r="E24" s="34">
        <f>E23*E13</f>
        <v>44.279377104377105</v>
      </c>
      <c r="G24" s="37"/>
    </row>
    <row r="25" spans="1:7" ht="15.75" thickBot="1" x14ac:dyDescent="0.3">
      <c r="A25" t="s">
        <v>188</v>
      </c>
      <c r="B25" s="48">
        <f>B23/B10</f>
        <v>0.56128787878787878</v>
      </c>
      <c r="C25" s="47" t="s">
        <v>79</v>
      </c>
      <c r="D25" t="s">
        <v>16</v>
      </c>
      <c r="E25" s="33">
        <f>SUM(E23:E24)</f>
        <v>123.16826599326599</v>
      </c>
    </row>
    <row r="26" spans="1:7" ht="15.75" thickTop="1" x14ac:dyDescent="0.25">
      <c r="C26" s="47" t="s">
        <v>86</v>
      </c>
      <c r="D26" t="s">
        <v>39</v>
      </c>
      <c r="E26" s="34">
        <f>E25*E14</f>
        <v>5.9226430976430979</v>
      </c>
    </row>
    <row r="27" spans="1:7" x14ac:dyDescent="0.25">
      <c r="A27" s="30" t="s">
        <v>23</v>
      </c>
      <c r="C27" s="47" t="s">
        <v>79</v>
      </c>
      <c r="D27" t="s">
        <v>20</v>
      </c>
      <c r="E27" s="33">
        <f>SUM(E25:E26)</f>
        <v>129.09090909090909</v>
      </c>
    </row>
    <row r="28" spans="1:7" x14ac:dyDescent="0.25">
      <c r="A28" t="s">
        <v>33</v>
      </c>
      <c r="B28" s="37">
        <f>B11</f>
        <v>2520000</v>
      </c>
      <c r="C28" s="47" t="s">
        <v>86</v>
      </c>
      <c r="D28" t="s">
        <v>48</v>
      </c>
      <c r="E28" s="34">
        <f>E27*E15</f>
        <v>32.272727272727273</v>
      </c>
    </row>
    <row r="29" spans="1:7" ht="15.75" thickBot="1" x14ac:dyDescent="0.3">
      <c r="A29" s="52" t="s">
        <v>189</v>
      </c>
      <c r="B29" s="38">
        <f>B23</f>
        <v>2222700</v>
      </c>
      <c r="C29" s="47" t="s">
        <v>79</v>
      </c>
      <c r="D29" t="s">
        <v>41</v>
      </c>
      <c r="E29" s="36">
        <f>SUM(E27:E28)</f>
        <v>161.36363636363637</v>
      </c>
    </row>
    <row r="30" spans="1:7" ht="16.5" thickTop="1" thickBot="1" x14ac:dyDescent="0.3">
      <c r="A30" t="s">
        <v>5</v>
      </c>
      <c r="B30" s="39">
        <f>B28-B29</f>
        <v>297300</v>
      </c>
      <c r="C30" s="46"/>
    </row>
    <row r="31" spans="1:7" ht="15.75" thickTop="1" x14ac:dyDescent="0.25">
      <c r="B31" s="37"/>
      <c r="C31" s="64" t="s">
        <v>240</v>
      </c>
      <c r="D31" t="s">
        <v>241</v>
      </c>
      <c r="E31">
        <f>E11</f>
        <v>90</v>
      </c>
    </row>
    <row r="32" spans="1:7" x14ac:dyDescent="0.25">
      <c r="A32" t="s">
        <v>104</v>
      </c>
      <c r="B32" s="37">
        <f>B10</f>
        <v>3960000</v>
      </c>
      <c r="C32" s="46"/>
      <c r="D32" t="s">
        <v>183</v>
      </c>
      <c r="E32" s="2">
        <v>0.05</v>
      </c>
    </row>
    <row r="33" spans="1:5" x14ac:dyDescent="0.25">
      <c r="A33" s="52" t="s">
        <v>190</v>
      </c>
      <c r="B33" s="38">
        <f>B23</f>
        <v>2222700</v>
      </c>
      <c r="C33" s="46"/>
      <c r="D33" s="51" t="s">
        <v>242</v>
      </c>
      <c r="E33">
        <f>E31*(1-E32)</f>
        <v>85.5</v>
      </c>
    </row>
    <row r="34" spans="1:5" x14ac:dyDescent="0.25">
      <c r="A34" t="s">
        <v>16</v>
      </c>
      <c r="B34" s="44">
        <f>SUM(B32:B33)</f>
        <v>6182700</v>
      </c>
      <c r="C34" s="46"/>
    </row>
    <row r="35" spans="1:5" x14ac:dyDescent="0.25">
      <c r="C35" s="46"/>
      <c r="D35" t="s">
        <v>243</v>
      </c>
      <c r="E35" s="101">
        <f>E21/E33</f>
        <v>83.040935672514621</v>
      </c>
    </row>
    <row r="36" spans="1:5" ht="15.75" thickBot="1" x14ac:dyDescent="0.3">
      <c r="A36" t="s">
        <v>191</v>
      </c>
      <c r="B36" s="48">
        <f>B30/B34</f>
        <v>4.8085787762627979E-2</v>
      </c>
      <c r="C36" s="46"/>
      <c r="D36" t="s">
        <v>196</v>
      </c>
      <c r="E36" s="102">
        <f>B47</f>
        <v>2.0454545454545454</v>
      </c>
    </row>
    <row r="37" spans="1:5" ht="16.5" thickTop="1" thickBot="1" x14ac:dyDescent="0.3">
      <c r="C37" s="46"/>
      <c r="D37" t="s">
        <v>244</v>
      </c>
      <c r="E37" s="103">
        <f>E35*E36</f>
        <v>169.85645933014354</v>
      </c>
    </row>
    <row r="38" spans="1:5" ht="15.75" thickTop="1" x14ac:dyDescent="0.25">
      <c r="A38" s="32" t="s">
        <v>100</v>
      </c>
      <c r="C38" s="46"/>
    </row>
    <row r="39" spans="1:5" x14ac:dyDescent="0.25">
      <c r="A39" s="110" t="s">
        <v>44</v>
      </c>
      <c r="B39" s="111"/>
      <c r="C39" s="111"/>
      <c r="D39" s="111"/>
    </row>
    <row r="40" spans="1:5" x14ac:dyDescent="0.25">
      <c r="B40" s="37"/>
      <c r="C40" s="46"/>
    </row>
    <row r="41" spans="1:5" x14ac:dyDescent="0.25">
      <c r="A41" t="s">
        <v>56</v>
      </c>
      <c r="B41" s="37">
        <f>B9</f>
        <v>6480000</v>
      </c>
      <c r="C41" s="46"/>
    </row>
    <row r="42" spans="1:5" x14ac:dyDescent="0.25">
      <c r="A42" s="51" t="s">
        <v>192</v>
      </c>
      <c r="B42" s="38">
        <f>B41*C42</f>
        <v>1620000</v>
      </c>
      <c r="C42" s="68">
        <v>0.25</v>
      </c>
    </row>
    <row r="43" spans="1:5" x14ac:dyDescent="0.25">
      <c r="A43" t="s">
        <v>193</v>
      </c>
      <c r="B43" s="69">
        <f>SUM(B41:B42)</f>
        <v>8100000</v>
      </c>
      <c r="C43" s="46"/>
    </row>
    <row r="44" spans="1:5" x14ac:dyDescent="0.25">
      <c r="A44" s="52" t="s">
        <v>194</v>
      </c>
      <c r="B44" s="38">
        <f>B10</f>
        <v>3960000</v>
      </c>
      <c r="C44" s="46"/>
    </row>
    <row r="45" spans="1:5" x14ac:dyDescent="0.25">
      <c r="A45" t="s">
        <v>195</v>
      </c>
      <c r="B45" s="44">
        <f>B43-B44</f>
        <v>4140000</v>
      </c>
      <c r="C45" s="46"/>
    </row>
    <row r="46" spans="1:5" x14ac:dyDescent="0.25">
      <c r="C46" s="46"/>
    </row>
    <row r="47" spans="1:5" ht="15.75" thickBot="1" x14ac:dyDescent="0.3">
      <c r="A47" t="s">
        <v>196</v>
      </c>
      <c r="B47" s="84">
        <f>B43/B44</f>
        <v>2.0454545454545454</v>
      </c>
      <c r="C47" s="46"/>
    </row>
    <row r="48" spans="1:5" ht="15.75" thickTop="1" x14ac:dyDescent="0.25">
      <c r="C48" s="46"/>
    </row>
  </sheetData>
  <mergeCells count="1">
    <mergeCell ref="A39:D3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32"/>
  <sheetViews>
    <sheetView workbookViewId="0">
      <selection activeCell="D9" sqref="D9"/>
    </sheetView>
  </sheetViews>
  <sheetFormatPr baseColWidth="10" defaultRowHeight="15" x14ac:dyDescent="0.25"/>
  <cols>
    <col min="1" max="1" width="5.7109375" customWidth="1"/>
    <col min="2" max="2" width="27.5703125" customWidth="1"/>
  </cols>
  <sheetData>
    <row r="5" spans="1:3" ht="18.75" x14ac:dyDescent="0.3">
      <c r="A5" s="106" t="s">
        <v>277</v>
      </c>
    </row>
    <row r="6" spans="1:3" ht="18.75" x14ac:dyDescent="0.3">
      <c r="A6" s="106"/>
    </row>
    <row r="7" spans="1:3" x14ac:dyDescent="0.25">
      <c r="A7" s="31" t="s">
        <v>7</v>
      </c>
      <c r="B7" s="32" t="s">
        <v>0</v>
      </c>
    </row>
    <row r="8" spans="1:3" x14ac:dyDescent="0.25">
      <c r="A8" s="31"/>
      <c r="B8" t="s">
        <v>76</v>
      </c>
      <c r="C8" s="33">
        <v>7.8</v>
      </c>
    </row>
    <row r="9" spans="1:3" x14ac:dyDescent="0.25">
      <c r="A9" s="31"/>
      <c r="B9" t="s">
        <v>41</v>
      </c>
      <c r="C9" s="33">
        <v>15</v>
      </c>
    </row>
    <row r="10" spans="1:3" x14ac:dyDescent="0.25">
      <c r="A10" s="31"/>
      <c r="B10" s="96" t="s">
        <v>6</v>
      </c>
      <c r="C10" s="2">
        <v>0.25</v>
      </c>
    </row>
    <row r="11" spans="1:3" x14ac:dyDescent="0.25">
      <c r="A11" s="31"/>
    </row>
    <row r="12" spans="1:3" x14ac:dyDescent="0.25">
      <c r="A12" s="31"/>
      <c r="B12" s="32" t="s">
        <v>77</v>
      </c>
    </row>
    <row r="13" spans="1:3" x14ac:dyDescent="0.25">
      <c r="A13" s="31"/>
      <c r="B13" t="str">
        <f>B9</f>
        <v>Salgspris med mva</v>
      </c>
      <c r="C13" s="33">
        <f>C9</f>
        <v>15</v>
      </c>
    </row>
    <row r="14" spans="1:3" x14ac:dyDescent="0.25">
      <c r="A14" s="31" t="s">
        <v>78</v>
      </c>
      <c r="B14" t="s">
        <v>48</v>
      </c>
      <c r="C14" s="34">
        <f>C13/(1+C10)*C10</f>
        <v>3</v>
      </c>
    </row>
    <row r="15" spans="1:3" x14ac:dyDescent="0.25">
      <c r="A15" s="35" t="s">
        <v>79</v>
      </c>
      <c r="B15" t="s">
        <v>20</v>
      </c>
      <c r="C15" s="33">
        <f>C13-C14</f>
        <v>12</v>
      </c>
    </row>
    <row r="16" spans="1:3" x14ac:dyDescent="0.25">
      <c r="A16" s="31" t="s">
        <v>78</v>
      </c>
      <c r="B16" t="s">
        <v>58</v>
      </c>
      <c r="C16" s="34">
        <f>C8</f>
        <v>7.8</v>
      </c>
    </row>
    <row r="17" spans="1:3" ht="15.75" thickBot="1" x14ac:dyDescent="0.3">
      <c r="A17" s="35" t="s">
        <v>79</v>
      </c>
      <c r="B17" t="s">
        <v>80</v>
      </c>
      <c r="C17" s="36">
        <f>C15-C16</f>
        <v>4.2</v>
      </c>
    </row>
    <row r="18" spans="1:3" ht="15.75" thickTop="1" x14ac:dyDescent="0.25"/>
    <row r="20" spans="1:3" x14ac:dyDescent="0.25">
      <c r="A20" s="30" t="s">
        <v>14</v>
      </c>
    </row>
    <row r="21" spans="1:3" x14ac:dyDescent="0.25">
      <c r="A21" s="31"/>
      <c r="B21" s="32" t="s">
        <v>0</v>
      </c>
    </row>
    <row r="22" spans="1:3" x14ac:dyDescent="0.25">
      <c r="A22" s="31"/>
      <c r="B22" t="s">
        <v>81</v>
      </c>
      <c r="C22" s="37">
        <v>300</v>
      </c>
    </row>
    <row r="23" spans="1:3" x14ac:dyDescent="0.25">
      <c r="A23" s="31"/>
      <c r="B23" t="s">
        <v>41</v>
      </c>
      <c r="C23" s="37">
        <v>1250</v>
      </c>
    </row>
    <row r="24" spans="1:3" x14ac:dyDescent="0.25">
      <c r="A24" s="31"/>
      <c r="B24" t="s">
        <v>6</v>
      </c>
      <c r="C24" s="2">
        <v>0.25</v>
      </c>
    </row>
    <row r="25" spans="1:3" x14ac:dyDescent="0.25">
      <c r="A25" s="31"/>
    </row>
    <row r="26" spans="1:3" x14ac:dyDescent="0.25">
      <c r="A26" s="31"/>
      <c r="B26" s="32" t="s">
        <v>77</v>
      </c>
    </row>
    <row r="27" spans="1:3" x14ac:dyDescent="0.25">
      <c r="A27" s="31"/>
      <c r="B27" t="str">
        <f>B23</f>
        <v>Salgspris med mva</v>
      </c>
      <c r="C27" s="37">
        <f>C23</f>
        <v>1250</v>
      </c>
    </row>
    <row r="28" spans="1:3" x14ac:dyDescent="0.25">
      <c r="A28" s="31" t="s">
        <v>78</v>
      </c>
      <c r="B28" t="s">
        <v>48</v>
      </c>
      <c r="C28" s="38">
        <f>C27/(1+C24)*C24</f>
        <v>250</v>
      </c>
    </row>
    <row r="29" spans="1:3" x14ac:dyDescent="0.25">
      <c r="A29" s="35" t="s">
        <v>79</v>
      </c>
      <c r="B29" t="s">
        <v>20</v>
      </c>
      <c r="C29" s="37">
        <f>C27-C28</f>
        <v>1000</v>
      </c>
    </row>
    <row r="30" spans="1:3" x14ac:dyDescent="0.25">
      <c r="A30" s="31" t="s">
        <v>78</v>
      </c>
      <c r="B30" t="s">
        <v>82</v>
      </c>
      <c r="C30" s="38">
        <f>C22</f>
        <v>300</v>
      </c>
    </row>
    <row r="31" spans="1:3" ht="15.75" thickBot="1" x14ac:dyDescent="0.3">
      <c r="A31" s="35" t="s">
        <v>79</v>
      </c>
      <c r="B31" t="s">
        <v>76</v>
      </c>
      <c r="C31" s="39">
        <f>C29-C30</f>
        <v>700</v>
      </c>
    </row>
    <row r="32" spans="1:3" ht="15.75" thickTop="1" x14ac:dyDescent="0.25">
      <c r="A32" s="31"/>
      <c r="C32" s="3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19</vt:i4>
      </vt:variant>
    </vt:vector>
  </HeadingPairs>
  <TitlesOfParts>
    <vt:vector size="19" baseType="lpstr">
      <vt:lpstr>8.1</vt:lpstr>
      <vt:lpstr>8.2</vt:lpstr>
      <vt:lpstr>8.3</vt:lpstr>
      <vt:lpstr>8.4</vt:lpstr>
      <vt:lpstr>8,5</vt:lpstr>
      <vt:lpstr>8.6</vt:lpstr>
      <vt:lpstr>8.7</vt:lpstr>
      <vt:lpstr>8.8</vt:lpstr>
      <vt:lpstr>8.9</vt:lpstr>
      <vt:lpstr>8.10</vt:lpstr>
      <vt:lpstr>8.11</vt:lpstr>
      <vt:lpstr>8.12</vt:lpstr>
      <vt:lpstr>8.13</vt:lpstr>
      <vt:lpstr>8.14</vt:lpstr>
      <vt:lpstr>8.15</vt:lpstr>
      <vt:lpstr>8.16</vt:lpstr>
      <vt:lpstr>8.17</vt:lpstr>
      <vt:lpstr>8.18</vt:lpstr>
      <vt:lpstr>Ark1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Annelise</dc:creator>
  <cp:lastModifiedBy>Anne Berrefjord</cp:lastModifiedBy>
  <dcterms:created xsi:type="dcterms:W3CDTF">2014-06-30T08:25:12Z</dcterms:created>
  <dcterms:modified xsi:type="dcterms:W3CDTF">2014-10-21T06:00:27Z</dcterms:modified>
</cp:coreProperties>
</file>