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9.1" sheetId="42" r:id="rId1"/>
    <sheet name="9.2" sheetId="44" r:id="rId2"/>
    <sheet name="9.3" sheetId="6" r:id="rId3"/>
    <sheet name="9.4" sheetId="1" r:id="rId4"/>
    <sheet name="9.5" sheetId="2" r:id="rId5"/>
    <sheet name="9.6" sheetId="28" r:id="rId6"/>
    <sheet name="9.7" sheetId="15" r:id="rId7"/>
    <sheet name="9.8" sheetId="29" r:id="rId8"/>
    <sheet name="9.9" sheetId="16" r:id="rId9"/>
    <sheet name="9.10" sheetId="32" r:id="rId10"/>
    <sheet name="9.11" sheetId="30" r:id="rId11"/>
    <sheet name="9.12" sheetId="33" r:id="rId12"/>
    <sheet name="9.13" sheetId="34" r:id="rId13"/>
    <sheet name="9.14" sheetId="35" r:id="rId14"/>
    <sheet name="9.15" sheetId="22" r:id="rId15"/>
    <sheet name="9.16" sheetId="46" r:id="rId16"/>
    <sheet name="9.17" sheetId="24" r:id="rId17"/>
    <sheet name="9.18" sheetId="36" r:id="rId18"/>
    <sheet name="9.19" sheetId="25" r:id="rId19"/>
    <sheet name="9.20" sheetId="38" r:id="rId20"/>
    <sheet name="9.21" sheetId="39" r:id="rId21"/>
    <sheet name="9.22" sheetId="40" r:id="rId22"/>
    <sheet name="Ark1" sheetId="45" r:id="rId23"/>
  </sheets>
  <externalReferences>
    <externalReference r:id="rId24"/>
  </externalReferences>
  <definedNames>
    <definedName name="alt">[1]RESULTATBUDSJETT!$A$2:$G$69</definedName>
    <definedName name="arsbudsjett">[1]RESULTATBUDSJETT!$A$2:$G$26</definedName>
    <definedName name="Avrund">[1]LIKVIDITETSBUDSJETT!$C$185</definedName>
    <definedName name="BUDSJETTERTE_UTBETALINGER_TIL_VARELEVERANDØRER" localSheetId="9">[1]LIKVIDITETSBUDSJETT!#REF!</definedName>
    <definedName name="BUDSJETTERTE_UTBETALINGER_TIL_VARELEVERANDØRER" localSheetId="11">[1]LIKVIDITETSBUDSJETT!#REF!</definedName>
    <definedName name="BUDSJETTERTE_UTBETALINGER_TIL_VARELEVERANDØRER" localSheetId="12">[1]LIKVIDITETSBUDSJETT!#REF!</definedName>
    <definedName name="BUDSJETTERTE_UTBETALINGER_TIL_VARELEVERANDØRER" localSheetId="13">[1]LIKVIDITETSBUDSJETT!#REF!</definedName>
    <definedName name="BUDSJETTERTE_UTBETALINGER_TIL_VARELEVERANDØRER" localSheetId="17">[1]LIKVIDITETSBUDSJETT!#REF!</definedName>
    <definedName name="BUDSJETTERTE_UTBETALINGER_TIL_VARELEVERANDØRER" localSheetId="19">[1]LIKVIDITETSBUDSJETT!#REF!</definedName>
    <definedName name="BUDSJETTERTE_UTBETALINGER_TIL_VARELEVERANDØRER" localSheetId="20">[1]LIKVIDITETSBUDSJETT!#REF!</definedName>
    <definedName name="BUDSJETTERTE_UTBETALINGER_TIL_VARELEVERANDØRER">[1]LIKVIDITETSBUDSJETT!#REF!</definedName>
    <definedName name="BUDSJETTSIMULERING">[1]LIKVIDITETSBUDSJETT!$A$83</definedName>
    <definedName name="forutsetninger" localSheetId="9">[1]LIKVIDITETSBUDSJETT!#REF!</definedName>
    <definedName name="forutsetninger" localSheetId="11">[1]LIKVIDITETSBUDSJETT!#REF!</definedName>
    <definedName name="forutsetninger" localSheetId="12">[1]LIKVIDITETSBUDSJETT!#REF!</definedName>
    <definedName name="forutsetninger" localSheetId="13">[1]LIKVIDITETSBUDSJETT!#REF!</definedName>
    <definedName name="forutsetninger" localSheetId="17">[1]LIKVIDITETSBUDSJETT!#REF!</definedName>
    <definedName name="forutsetninger" localSheetId="19">[1]LIKVIDITETSBUDSJETT!#REF!</definedName>
    <definedName name="forutsetninger" localSheetId="20">[1]LIKVIDITETSBUDSJETT!#REF!</definedName>
    <definedName name="forutsetninger">[1]LIKVIDITETSBUDSJETT!#REF!</definedName>
    <definedName name="graflikv">"Diagram 46"</definedName>
    <definedName name="Hjem">[1]LIKVIDITETSBUDSJETT!$A$1</definedName>
    <definedName name="Innbet">[1]LIKVIDITETSBUDSJETT!$C$5</definedName>
    <definedName name="INNBETALINGER_FRA_VARESALG">[1]LIKVIDITETSBUDSJETT!$A$3</definedName>
    <definedName name="Januar">[1]LIKVIDITETSBUDSJETT!$C$5</definedName>
    <definedName name="Likvid">[1]LIKVIDITETSBUDSJETT!$C$59</definedName>
    <definedName name="LIKVIDITETSBUDSJETT">[1]LIKVIDITETSBUDSJETT!$A$54</definedName>
    <definedName name="manedsbudsjett">[1]RESULTATBUDSJETT!$A$30:$E$70</definedName>
    <definedName name="melding_om_utskrift1">[1]RESULTATBUDSJETT!$A$209:$F$210</definedName>
    <definedName name="melding_om_utskrift2">[1]LIKVIDITETSBUDSJETT!$A$200:$D$201</definedName>
    <definedName name="melding_om_utskrift3">[1]BUDSJETTKONTROLL!$A$200:$D$201</definedName>
    <definedName name="Opptall">[1]LIKVIDITETSBUDSJETT!$F$89:$F$90</definedName>
    <definedName name="Simul">[1]LIKVIDITETSBUDSJETT!$C$89</definedName>
    <definedName name="Simutall">[1]LIKVIDITETSBUDSJETT!$G$89:$G$90</definedName>
    <definedName name="tall">[1]LIKVIDITETSBUDSJETT!$C$88</definedName>
    <definedName name="Utbet">[1]LIKVIDITETSBUDSJETT!$C$32</definedName>
    <definedName name="Utskrift">[1]BUDSJETTKONTROLL!$A$2:$G$23</definedName>
    <definedName name="Utskrift1">[1]LIKVIDITETSBUDSJETT!$A$4:$F$48</definedName>
    <definedName name="Utskrift2">[1]LIKVIDITETSBUDSJETT!$A$55:$G$100</definedName>
    <definedName name="Utskrift3">[1]LIKVIDITETSBUDSJETT!$A$4:$G$99</definedName>
    <definedName name="VAREKOSTNADSBUDSJETT">[1]LIKVIDITETSBUDSJETT!$A$29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3" i="46" l="1"/>
  <c r="D116" i="46"/>
  <c r="D123" i="46" s="1"/>
  <c r="C116" i="46"/>
  <c r="C123" i="46" s="1"/>
  <c r="B116" i="46"/>
  <c r="E117" i="46"/>
  <c r="E118" i="46"/>
  <c r="E119" i="46"/>
  <c r="E120" i="46"/>
  <c r="E121" i="46"/>
  <c r="E122" i="46"/>
  <c r="E105" i="46"/>
  <c r="E104" i="46"/>
  <c r="D104" i="46"/>
  <c r="D103" i="46"/>
  <c r="D106" i="46" s="1"/>
  <c r="C103" i="46"/>
  <c r="C106" i="46" s="1"/>
  <c r="E106" i="46" l="1"/>
  <c r="E123" i="46"/>
  <c r="E116" i="46"/>
  <c r="E78" i="46"/>
  <c r="E67" i="46"/>
  <c r="E69" i="46"/>
  <c r="E71" i="46"/>
  <c r="E72" i="46"/>
  <c r="E73" i="46"/>
  <c r="E74" i="46"/>
  <c r="D68" i="46"/>
  <c r="C68" i="46"/>
  <c r="C75" i="46" s="1"/>
  <c r="B68" i="46"/>
  <c r="D51" i="46"/>
  <c r="D52" i="46" s="1"/>
  <c r="D70" i="46" s="1"/>
  <c r="E70" i="46" s="1"/>
  <c r="C42" i="46"/>
  <c r="B33" i="46"/>
  <c r="C23" i="46"/>
  <c r="C14" i="46"/>
  <c r="C15" i="46" s="1"/>
  <c r="D14" i="46"/>
  <c r="D15" i="46" s="1"/>
  <c r="D85" i="46" s="1"/>
  <c r="E68" i="46" l="1"/>
  <c r="D75" i="46"/>
  <c r="C85" i="46"/>
  <c r="B25" i="46"/>
  <c r="B26" i="46"/>
  <c r="B75" i="46"/>
  <c r="E75" i="46"/>
  <c r="D33" i="46"/>
  <c r="D34" i="46" s="1"/>
  <c r="B45" i="46" s="1"/>
  <c r="E45" i="46" s="1"/>
  <c r="C33" i="46"/>
  <c r="C34" i="46" s="1"/>
  <c r="B44" i="46" s="1"/>
  <c r="B34" i="46"/>
  <c r="B43" i="46" s="1"/>
  <c r="E28" i="46" l="1"/>
  <c r="E26" i="46"/>
  <c r="E44" i="46"/>
  <c r="E46" i="46" s="1"/>
  <c r="D44" i="46"/>
  <c r="C43" i="46"/>
  <c r="C46" i="46" s="1"/>
  <c r="D43" i="46"/>
  <c r="D25" i="46"/>
  <c r="D28" i="46"/>
  <c r="E25" i="46"/>
  <c r="B13" i="39"/>
  <c r="D46" i="46" l="1"/>
  <c r="E27" i="46"/>
  <c r="E29" i="46" s="1"/>
  <c r="F32" i="40"/>
  <c r="E32" i="40"/>
  <c r="C32" i="40"/>
  <c r="B32" i="40"/>
  <c r="G16" i="40"/>
  <c r="G22" i="40"/>
  <c r="F23" i="40"/>
  <c r="G23" i="40" s="1"/>
  <c r="F22" i="40"/>
  <c r="F14" i="40"/>
  <c r="G14" i="40" s="1"/>
  <c r="F15" i="40"/>
  <c r="G15" i="40" s="1"/>
  <c r="F16" i="40"/>
  <c r="F17" i="40"/>
  <c r="G17" i="40" s="1"/>
  <c r="F18" i="40"/>
  <c r="G18" i="40" s="1"/>
  <c r="F19" i="40"/>
  <c r="G19" i="40" s="1"/>
  <c r="F13" i="40"/>
  <c r="G13" i="40" s="1"/>
  <c r="E14" i="40"/>
  <c r="E18" i="40"/>
  <c r="E22" i="40"/>
  <c r="C13" i="40"/>
  <c r="C15" i="40"/>
  <c r="C17" i="40"/>
  <c r="C19" i="40"/>
  <c r="C23" i="40"/>
  <c r="D20" i="40"/>
  <c r="E20" i="40" s="1"/>
  <c r="B21" i="40"/>
  <c r="C21" i="40" s="1"/>
  <c r="B20" i="40"/>
  <c r="F20" i="40" s="1"/>
  <c r="G20" i="40" s="1"/>
  <c r="D12" i="40"/>
  <c r="E15" i="40" s="1"/>
  <c r="B12" i="40"/>
  <c r="C12" i="40" s="1"/>
  <c r="D113" i="46" l="1"/>
  <c r="D114" i="46" s="1"/>
  <c r="D125" i="46" s="1"/>
  <c r="D65" i="46"/>
  <c r="D66" i="46" s="1"/>
  <c r="D77" i="46" s="1"/>
  <c r="B24" i="40"/>
  <c r="C24" i="40" s="1"/>
  <c r="C20" i="40"/>
  <c r="C16" i="40"/>
  <c r="E12" i="40"/>
  <c r="E17" i="40"/>
  <c r="E13" i="40"/>
  <c r="E16" i="40"/>
  <c r="F12" i="40"/>
  <c r="G12" i="40" s="1"/>
  <c r="D21" i="40"/>
  <c r="C22" i="40"/>
  <c r="C18" i="40"/>
  <c r="C14" i="40"/>
  <c r="E23" i="40"/>
  <c r="E19" i="40"/>
  <c r="D28" i="39"/>
  <c r="E28" i="39" s="1"/>
  <c r="B28" i="39"/>
  <c r="C28" i="39" s="1"/>
  <c r="F27" i="39"/>
  <c r="G27" i="39" s="1"/>
  <c r="E27" i="39"/>
  <c r="C27" i="39"/>
  <c r="F26" i="39"/>
  <c r="G26" i="39" s="1"/>
  <c r="E26" i="39"/>
  <c r="C26" i="39"/>
  <c r="F25" i="39"/>
  <c r="G25" i="39" s="1"/>
  <c r="E25" i="39"/>
  <c r="C25" i="39"/>
  <c r="F24" i="39"/>
  <c r="G24" i="39" s="1"/>
  <c r="E24" i="39"/>
  <c r="C24" i="39"/>
  <c r="F23" i="39"/>
  <c r="G23" i="39" s="1"/>
  <c r="E23" i="39"/>
  <c r="C23" i="39"/>
  <c r="F22" i="39"/>
  <c r="G22" i="39" s="1"/>
  <c r="E22" i="39"/>
  <c r="C22" i="39"/>
  <c r="F21" i="39"/>
  <c r="G21" i="39" s="1"/>
  <c r="E21" i="39"/>
  <c r="C21" i="39"/>
  <c r="F20" i="39"/>
  <c r="G20" i="39" s="1"/>
  <c r="E20" i="39"/>
  <c r="C20" i="39"/>
  <c r="F19" i="39"/>
  <c r="G19" i="39" s="1"/>
  <c r="E19" i="39"/>
  <c r="C19" i="39"/>
  <c r="F18" i="39"/>
  <c r="G18" i="39" s="1"/>
  <c r="E18" i="39"/>
  <c r="C18" i="39"/>
  <c r="F17" i="39"/>
  <c r="G17" i="39" s="1"/>
  <c r="E17" i="39"/>
  <c r="C17" i="39"/>
  <c r="F16" i="39"/>
  <c r="G16" i="39" s="1"/>
  <c r="E16" i="39"/>
  <c r="C16" i="39"/>
  <c r="F15" i="39"/>
  <c r="G15" i="39" s="1"/>
  <c r="E15" i="39"/>
  <c r="C15" i="39"/>
  <c r="D13" i="39"/>
  <c r="E13" i="39" s="1"/>
  <c r="C13" i="39"/>
  <c r="F12" i="39"/>
  <c r="G12" i="39" s="1"/>
  <c r="E12" i="39"/>
  <c r="C12" i="39"/>
  <c r="F11" i="39"/>
  <c r="G11" i="39" s="1"/>
  <c r="E11" i="39"/>
  <c r="C11" i="39"/>
  <c r="F21" i="40" l="1"/>
  <c r="G21" i="40" s="1"/>
  <c r="E21" i="40"/>
  <c r="D24" i="40"/>
  <c r="F13" i="39"/>
  <c r="G13" i="39" s="1"/>
  <c r="F28" i="39"/>
  <c r="G28" i="39" s="1"/>
  <c r="D29" i="39"/>
  <c r="E29" i="39" s="1"/>
  <c r="B29" i="39"/>
  <c r="C29" i="39" s="1"/>
  <c r="D20" i="38"/>
  <c r="E20" i="38" s="1"/>
  <c r="B20" i="38"/>
  <c r="C20" i="38" s="1"/>
  <c r="F19" i="38"/>
  <c r="G19" i="38" s="1"/>
  <c r="E19" i="38"/>
  <c r="C19" i="38"/>
  <c r="F18" i="38"/>
  <c r="G18" i="38" s="1"/>
  <c r="E18" i="38"/>
  <c r="C18" i="38"/>
  <c r="F17" i="38"/>
  <c r="G17" i="38" s="1"/>
  <c r="E17" i="38"/>
  <c r="C17" i="38"/>
  <c r="F16" i="38"/>
  <c r="G16" i="38" s="1"/>
  <c r="E16" i="38"/>
  <c r="C16" i="38"/>
  <c r="F15" i="38"/>
  <c r="E15" i="38"/>
  <c r="C15" i="38"/>
  <c r="D13" i="38"/>
  <c r="E13" i="38" s="1"/>
  <c r="B13" i="38"/>
  <c r="C13" i="38" s="1"/>
  <c r="F12" i="38"/>
  <c r="G12" i="38" s="1"/>
  <c r="E12" i="38"/>
  <c r="C12" i="38"/>
  <c r="F11" i="38"/>
  <c r="G11" i="38" s="1"/>
  <c r="E11" i="38"/>
  <c r="C11" i="38"/>
  <c r="F24" i="40" l="1"/>
  <c r="G24" i="40" s="1"/>
  <c r="E24" i="40"/>
  <c r="F13" i="38"/>
  <c r="G13" i="38" s="1"/>
  <c r="F29" i="39"/>
  <c r="G29" i="39" s="1"/>
  <c r="F20" i="38"/>
  <c r="G20" i="38" s="1"/>
  <c r="B21" i="38"/>
  <c r="C21" i="38" s="1"/>
  <c r="G15" i="38"/>
  <c r="D21" i="38"/>
  <c r="E21" i="38" s="1"/>
  <c r="F21" i="38" l="1"/>
  <c r="G21" i="38" s="1"/>
  <c r="E30" i="25" l="1"/>
  <c r="D30" i="25"/>
  <c r="C30" i="25"/>
  <c r="B30" i="25"/>
  <c r="C19" i="25"/>
  <c r="D19" i="25"/>
  <c r="E19" i="25"/>
  <c r="B19" i="25"/>
  <c r="E78" i="36" l="1"/>
  <c r="E70" i="36"/>
  <c r="E71" i="36"/>
  <c r="E72" i="36"/>
  <c r="E73" i="36"/>
  <c r="E74" i="36"/>
  <c r="D76" i="36"/>
  <c r="D77" i="36" s="1"/>
  <c r="B76" i="36"/>
  <c r="C75" i="36"/>
  <c r="E75" i="36" s="1"/>
  <c r="E76" i="36" s="1"/>
  <c r="C74" i="36"/>
  <c r="E68" i="36"/>
  <c r="E69" i="36"/>
  <c r="C60" i="36"/>
  <c r="E60" i="36" s="1"/>
  <c r="B62" i="36"/>
  <c r="C62" i="36" s="1"/>
  <c r="F62" i="36" s="1"/>
  <c r="B61" i="36"/>
  <c r="C61" i="36" s="1"/>
  <c r="B60" i="36"/>
  <c r="D59" i="36"/>
  <c r="C45" i="36"/>
  <c r="B39" i="36"/>
  <c r="C50" i="36" s="1"/>
  <c r="C38" i="36"/>
  <c r="C39" i="36" s="1"/>
  <c r="D50" i="36" s="1"/>
  <c r="D38" i="36"/>
  <c r="D39" i="36" s="1"/>
  <c r="B38" i="36"/>
  <c r="E21" i="36"/>
  <c r="E20" i="36"/>
  <c r="B22" i="36"/>
  <c r="C22" i="36" s="1"/>
  <c r="C21" i="36"/>
  <c r="C20" i="36"/>
  <c r="E19" i="36"/>
  <c r="C19" i="36"/>
  <c r="E18" i="36"/>
  <c r="C18" i="36"/>
  <c r="E17" i="36"/>
  <c r="C17" i="36"/>
  <c r="B15" i="36"/>
  <c r="C15" i="36" s="1"/>
  <c r="C14" i="36"/>
  <c r="E13" i="36"/>
  <c r="E14" i="36" s="1"/>
  <c r="F14" i="36" s="1"/>
  <c r="C13" i="36"/>
  <c r="E61" i="36" l="1"/>
  <c r="F61" i="36"/>
  <c r="F63" i="36" s="1"/>
  <c r="E50" i="36"/>
  <c r="B48" i="36"/>
  <c r="E48" i="36" s="1"/>
  <c r="E63" i="36"/>
  <c r="B46" i="36"/>
  <c r="B47" i="36"/>
  <c r="D60" i="36"/>
  <c r="D63" i="36" s="1"/>
  <c r="C76" i="36"/>
  <c r="C77" i="36" s="1"/>
  <c r="F19" i="36"/>
  <c r="F21" i="36"/>
  <c r="F20" i="36"/>
  <c r="F18" i="36"/>
  <c r="F13" i="36"/>
  <c r="E22" i="36"/>
  <c r="F22" i="36" s="1"/>
  <c r="B23" i="36"/>
  <c r="C23" i="36" s="1"/>
  <c r="E15" i="36"/>
  <c r="F17" i="36"/>
  <c r="E47" i="36" l="1"/>
  <c r="E49" i="36" s="1"/>
  <c r="E51" i="36" s="1"/>
  <c r="D47" i="36"/>
  <c r="D46" i="36"/>
  <c r="C46" i="36"/>
  <c r="C49" i="36" s="1"/>
  <c r="C51" i="36" s="1"/>
  <c r="B67" i="36" s="1"/>
  <c r="F15" i="36"/>
  <c r="E23" i="36"/>
  <c r="F23" i="36" s="1"/>
  <c r="B77" i="36" l="1"/>
  <c r="B79" i="36" s="1"/>
  <c r="C78" i="36" s="1"/>
  <c r="C79" i="36" s="1"/>
  <c r="D78" i="36" s="1"/>
  <c r="D79" i="36" s="1"/>
  <c r="E67" i="36"/>
  <c r="E77" i="36" s="1"/>
  <c r="E79" i="36" s="1"/>
  <c r="D49" i="36"/>
  <c r="D51" i="36" s="1"/>
  <c r="B19" i="24"/>
  <c r="E19" i="24" s="1"/>
  <c r="C18" i="24"/>
  <c r="C20" i="24" s="1"/>
  <c r="E13" i="24"/>
  <c r="E14" i="24"/>
  <c r="E15" i="24"/>
  <c r="E16" i="24"/>
  <c r="E10" i="24"/>
  <c r="C17" i="24"/>
  <c r="D17" i="24"/>
  <c r="B17" i="24"/>
  <c r="B28" i="24"/>
  <c r="B27" i="24"/>
  <c r="B29" i="24" s="1"/>
  <c r="B30" i="24" s="1"/>
  <c r="D11" i="24"/>
  <c r="D18" i="24" s="1"/>
  <c r="D20" i="24" s="1"/>
  <c r="C11" i="24"/>
  <c r="B11" i="24"/>
  <c r="E11" i="24" s="1"/>
  <c r="B18" i="24" l="1"/>
  <c r="B20" i="24" s="1"/>
  <c r="E17" i="24"/>
  <c r="E18" i="24" s="1"/>
  <c r="E20" i="24" s="1"/>
  <c r="E86" i="22"/>
  <c r="E83" i="22"/>
  <c r="E82" i="22"/>
  <c r="E81" i="22"/>
  <c r="D80" i="22"/>
  <c r="C80" i="22"/>
  <c r="B80" i="22"/>
  <c r="E77" i="22"/>
  <c r="E70" i="22"/>
  <c r="E67" i="22"/>
  <c r="D66" i="22"/>
  <c r="C66" i="22"/>
  <c r="B66" i="22"/>
  <c r="E65" i="22"/>
  <c r="E64" i="22"/>
  <c r="E63" i="22"/>
  <c r="D62" i="22"/>
  <c r="E62" i="22" s="1"/>
  <c r="E61" i="22"/>
  <c r="B52" i="22"/>
  <c r="C42" i="22"/>
  <c r="E38" i="22"/>
  <c r="D38" i="22"/>
  <c r="C38" i="22"/>
  <c r="B38" i="22"/>
  <c r="E39" i="22"/>
  <c r="E41" i="22" s="1"/>
  <c r="E42" i="22" s="1"/>
  <c r="D39" i="22"/>
  <c r="D41" i="22" s="1"/>
  <c r="D42" i="22" s="1"/>
  <c r="C39" i="22"/>
  <c r="C41" i="22" s="1"/>
  <c r="B39" i="22"/>
  <c r="B41" i="22" s="1"/>
  <c r="B42" i="22" s="1"/>
  <c r="C13" i="22"/>
  <c r="C14" i="22" s="1"/>
  <c r="B21" i="22" s="1"/>
  <c r="E21" i="22" s="1"/>
  <c r="D13" i="22"/>
  <c r="E13" i="22"/>
  <c r="B13" i="22"/>
  <c r="B14" i="22" s="1"/>
  <c r="B20" i="22" s="1"/>
  <c r="D20" i="22" s="1"/>
  <c r="E14" i="22"/>
  <c r="D14" i="22"/>
  <c r="B22" i="22" s="1"/>
  <c r="E66" i="22" l="1"/>
  <c r="C79" i="22"/>
  <c r="C84" i="22" s="1"/>
  <c r="C85" i="22" s="1"/>
  <c r="C87" i="22" s="1"/>
  <c r="D79" i="22"/>
  <c r="D84" i="22" s="1"/>
  <c r="D85" i="22" s="1"/>
  <c r="D87" i="22" s="1"/>
  <c r="B79" i="22"/>
  <c r="E79" i="22" s="1"/>
  <c r="B84" i="22"/>
  <c r="B85" i="22" s="1"/>
  <c r="B87" i="22" s="1"/>
  <c r="E80" i="22"/>
  <c r="C22" i="22"/>
  <c r="E22" i="22" s="1"/>
  <c r="E24" i="22" s="1"/>
  <c r="C57" i="22" s="1"/>
  <c r="F22" i="22"/>
  <c r="B23" i="22"/>
  <c r="C23" i="22" s="1"/>
  <c r="F23" i="22" s="1"/>
  <c r="C21" i="22"/>
  <c r="D21" i="22" s="1"/>
  <c r="D24" i="22" s="1"/>
  <c r="B57" i="22" s="1"/>
  <c r="C43" i="22"/>
  <c r="D44" i="22" s="1"/>
  <c r="C60" i="22" s="1"/>
  <c r="C68" i="22" s="1"/>
  <c r="C71" i="22" s="1"/>
  <c r="D43" i="22"/>
  <c r="E44" i="22" s="1"/>
  <c r="D60" i="22" s="1"/>
  <c r="D68" i="22" s="1"/>
  <c r="B43" i="22"/>
  <c r="E43" i="22"/>
  <c r="B25" i="35"/>
  <c r="F24" i="35"/>
  <c r="E23" i="35"/>
  <c r="E25" i="35" s="1"/>
  <c r="D23" i="35"/>
  <c r="D25" i="35" s="1"/>
  <c r="C23" i="35"/>
  <c r="F23" i="35" s="1"/>
  <c r="F22" i="35"/>
  <c r="F21" i="35"/>
  <c r="F20" i="35"/>
  <c r="F19" i="35"/>
  <c r="E16" i="35"/>
  <c r="D16" i="35"/>
  <c r="C16" i="35"/>
  <c r="F16" i="35" s="1"/>
  <c r="E15" i="35"/>
  <c r="D15" i="35"/>
  <c r="D17" i="35" s="1"/>
  <c r="D27" i="35" s="1"/>
  <c r="D29" i="35" s="1"/>
  <c r="C15" i="35"/>
  <c r="C17" i="35" s="1"/>
  <c r="B15" i="35"/>
  <c r="B17" i="35" s="1"/>
  <c r="B16" i="34"/>
  <c r="B17" i="34"/>
  <c r="B18" i="34" s="1"/>
  <c r="B25" i="34" s="1"/>
  <c r="B22" i="34"/>
  <c r="B23" i="34" s="1"/>
  <c r="B26" i="34" s="1"/>
  <c r="C39" i="33"/>
  <c r="F27" i="33"/>
  <c r="E27" i="33"/>
  <c r="D27" i="33"/>
  <c r="C27" i="33"/>
  <c r="C16" i="33"/>
  <c r="F9" i="33"/>
  <c r="F10" i="33" s="1"/>
  <c r="E9" i="33"/>
  <c r="E10" i="33" s="1"/>
  <c r="D9" i="33"/>
  <c r="D10" i="33" s="1"/>
  <c r="C9" i="33"/>
  <c r="C10" i="33" s="1"/>
  <c r="C28" i="32"/>
  <c r="D28" i="32" s="1"/>
  <c r="E28" i="32" s="1"/>
  <c r="C9" i="32"/>
  <c r="C10" i="32" s="1"/>
  <c r="D9" i="32"/>
  <c r="D10" i="32" s="1"/>
  <c r="E9" i="32"/>
  <c r="E10" i="32" s="1"/>
  <c r="B9" i="32"/>
  <c r="B10" i="32" s="1"/>
  <c r="C20" i="32" s="1"/>
  <c r="B30" i="32" l="1"/>
  <c r="C30" i="32" s="1"/>
  <c r="E20" i="32"/>
  <c r="D15" i="32"/>
  <c r="B31" i="32"/>
  <c r="C31" i="32" s="1"/>
  <c r="E15" i="32"/>
  <c r="D20" i="32"/>
  <c r="C15" i="32"/>
  <c r="B29" i="32"/>
  <c r="C29" i="32" s="1"/>
  <c r="E17" i="35"/>
  <c r="E27" i="35" s="1"/>
  <c r="E29" i="35" s="1"/>
  <c r="E84" i="22"/>
  <c r="E85" i="22" s="1"/>
  <c r="E87" i="22" s="1"/>
  <c r="F24" i="22"/>
  <c r="D57" i="22" s="1"/>
  <c r="D71" i="22" s="1"/>
  <c r="C44" i="22"/>
  <c r="B60" i="22" s="1"/>
  <c r="B46" i="22"/>
  <c r="F17" i="35"/>
  <c r="B27" i="35"/>
  <c r="B29" i="35" s="1"/>
  <c r="C28" i="35" s="1"/>
  <c r="F25" i="35"/>
  <c r="F15" i="35"/>
  <c r="C25" i="35"/>
  <c r="C27" i="35" s="1"/>
  <c r="B27" i="34"/>
  <c r="C22" i="33"/>
  <c r="B17" i="33"/>
  <c r="B18" i="33"/>
  <c r="D22" i="33"/>
  <c r="E22" i="33"/>
  <c r="B19" i="33"/>
  <c r="B20" i="33"/>
  <c r="F22" i="33"/>
  <c r="E29" i="33"/>
  <c r="E31" i="33" s="1"/>
  <c r="E28" i="33"/>
  <c r="F28" i="33"/>
  <c r="F29" i="33" s="1"/>
  <c r="F31" i="33" s="1"/>
  <c r="C28" i="33"/>
  <c r="C29" i="33" s="1"/>
  <c r="D28" i="33"/>
  <c r="D29" i="33" s="1"/>
  <c r="D31" i="33" s="1"/>
  <c r="C25" i="30"/>
  <c r="C14" i="30"/>
  <c r="B61" i="29"/>
  <c r="E55" i="29"/>
  <c r="D55" i="29"/>
  <c r="C55" i="29"/>
  <c r="E54" i="29"/>
  <c r="D54" i="29"/>
  <c r="D56" i="29" s="1"/>
  <c r="C54" i="29"/>
  <c r="E50" i="29"/>
  <c r="E61" i="29" s="1"/>
  <c r="D50" i="29"/>
  <c r="D61" i="29" s="1"/>
  <c r="C50" i="29"/>
  <c r="C61" i="29" s="1"/>
  <c r="F61" i="29" s="1"/>
  <c r="E49" i="29"/>
  <c r="E60" i="29" s="1"/>
  <c r="D49" i="29"/>
  <c r="D60" i="29" s="1"/>
  <c r="C49" i="29"/>
  <c r="C60" i="29" s="1"/>
  <c r="F60" i="29" s="1"/>
  <c r="E48" i="29"/>
  <c r="E59" i="29" s="1"/>
  <c r="D48" i="29"/>
  <c r="D59" i="29" s="1"/>
  <c r="C48" i="29"/>
  <c r="C59" i="29" s="1"/>
  <c r="E47" i="29"/>
  <c r="E58" i="29" s="1"/>
  <c r="D47" i="29"/>
  <c r="D58" i="29" s="1"/>
  <c r="D62" i="29" s="1"/>
  <c r="C47" i="29"/>
  <c r="C58" i="29" s="1"/>
  <c r="B38" i="29"/>
  <c r="B60" i="29" s="1"/>
  <c r="B37" i="29"/>
  <c r="B59" i="29" s="1"/>
  <c r="B36" i="29"/>
  <c r="B58" i="29" s="1"/>
  <c r="B35" i="29"/>
  <c r="E32" i="29"/>
  <c r="D32" i="29"/>
  <c r="C32" i="29"/>
  <c r="E31" i="29"/>
  <c r="D31" i="29"/>
  <c r="C31" i="29"/>
  <c r="E27" i="29"/>
  <c r="E38" i="29" s="1"/>
  <c r="D27" i="29"/>
  <c r="D38" i="29" s="1"/>
  <c r="C27" i="29"/>
  <c r="C38" i="29" s="1"/>
  <c r="B27" i="29"/>
  <c r="E26" i="29"/>
  <c r="E37" i="29" s="1"/>
  <c r="D26" i="29"/>
  <c r="D37" i="29" s="1"/>
  <c r="C26" i="29"/>
  <c r="C37" i="29" s="1"/>
  <c r="B26" i="29"/>
  <c r="E25" i="29"/>
  <c r="E36" i="29" s="1"/>
  <c r="D25" i="29"/>
  <c r="D36" i="29" s="1"/>
  <c r="C25" i="29"/>
  <c r="C36" i="29" s="1"/>
  <c r="B25" i="29"/>
  <c r="E24" i="29"/>
  <c r="E35" i="29" s="1"/>
  <c r="D24" i="29"/>
  <c r="D35" i="29" s="1"/>
  <c r="C24" i="29"/>
  <c r="C35" i="29" s="1"/>
  <c r="B24" i="29"/>
  <c r="C17" i="29"/>
  <c r="C11" i="29"/>
  <c r="B64" i="15"/>
  <c r="C64" i="15" s="1"/>
  <c r="E63" i="15"/>
  <c r="C63" i="15"/>
  <c r="C62" i="15"/>
  <c r="D61" i="15"/>
  <c r="E61" i="15" s="1"/>
  <c r="C61" i="15"/>
  <c r="E60" i="15"/>
  <c r="C60" i="15"/>
  <c r="E59" i="15"/>
  <c r="C59" i="15"/>
  <c r="B57" i="15"/>
  <c r="C57" i="15" s="1"/>
  <c r="C56" i="15"/>
  <c r="E55" i="15"/>
  <c r="C55" i="15"/>
  <c r="B43" i="15"/>
  <c r="C43" i="15" s="1"/>
  <c r="E42" i="15"/>
  <c r="C42" i="15"/>
  <c r="C41" i="15"/>
  <c r="D40" i="15"/>
  <c r="E40" i="15" s="1"/>
  <c r="C40" i="15"/>
  <c r="E39" i="15"/>
  <c r="C39" i="15"/>
  <c r="E38" i="15"/>
  <c r="C38" i="15"/>
  <c r="B36" i="15"/>
  <c r="C36" i="15" s="1"/>
  <c r="C35" i="15"/>
  <c r="E34" i="15"/>
  <c r="E41" i="15" s="1"/>
  <c r="C34" i="15"/>
  <c r="E19" i="15"/>
  <c r="D17" i="15"/>
  <c r="E17" i="15" s="1"/>
  <c r="E16" i="15"/>
  <c r="E15" i="15"/>
  <c r="E11" i="15"/>
  <c r="F63" i="15" s="1"/>
  <c r="C12" i="15"/>
  <c r="C15" i="15"/>
  <c r="C16" i="15"/>
  <c r="C17" i="15"/>
  <c r="C18" i="15"/>
  <c r="C19" i="15"/>
  <c r="C20" i="15"/>
  <c r="C11" i="15"/>
  <c r="B20" i="15"/>
  <c r="B13" i="15"/>
  <c r="C13" i="15" s="1"/>
  <c r="E23" i="28"/>
  <c r="C23" i="28"/>
  <c r="C22" i="28"/>
  <c r="B20" i="28"/>
  <c r="C20" i="28" s="1"/>
  <c r="E19" i="28"/>
  <c r="C19" i="28"/>
  <c r="E18" i="28"/>
  <c r="C18" i="28"/>
  <c r="E17" i="28"/>
  <c r="C17" i="28"/>
  <c r="E16" i="28"/>
  <c r="C16" i="28"/>
  <c r="E15" i="28"/>
  <c r="C15" i="28"/>
  <c r="B13" i="28"/>
  <c r="C13" i="28" s="1"/>
  <c r="D12" i="28"/>
  <c r="C12" i="28"/>
  <c r="E11" i="28"/>
  <c r="F22" i="28" s="1"/>
  <c r="C11" i="28"/>
  <c r="F59" i="29" l="1"/>
  <c r="E62" i="29"/>
  <c r="C29" i="35"/>
  <c r="E57" i="22"/>
  <c r="F16" i="28"/>
  <c r="D29" i="32"/>
  <c r="F29" i="32" s="1"/>
  <c r="E29" i="32"/>
  <c r="E32" i="32" s="1"/>
  <c r="D63" i="29"/>
  <c r="C15" i="30"/>
  <c r="C16" i="30" s="1"/>
  <c r="C18" i="30" s="1"/>
  <c r="C19" i="30" s="1"/>
  <c r="C20" i="30" s="1"/>
  <c r="C22" i="30" s="1"/>
  <c r="G31" i="32"/>
  <c r="D31" i="32"/>
  <c r="F30" i="32"/>
  <c r="D30" i="32"/>
  <c r="G30" i="32" s="1"/>
  <c r="G32" i="32" s="1"/>
  <c r="E20" i="28"/>
  <c r="F20" i="28" s="1"/>
  <c r="F17" i="28"/>
  <c r="F23" i="28"/>
  <c r="F18" i="28"/>
  <c r="F59" i="15"/>
  <c r="F61" i="15"/>
  <c r="F38" i="15"/>
  <c r="F40" i="15"/>
  <c r="B68" i="22"/>
  <c r="B71" i="22" s="1"/>
  <c r="B72" i="22" s="1"/>
  <c r="C70" i="22" s="1"/>
  <c r="C72" i="22" s="1"/>
  <c r="D70" i="22" s="1"/>
  <c r="D72" i="22" s="1"/>
  <c r="E60" i="22"/>
  <c r="E68" i="22" s="1"/>
  <c r="E71" i="22" s="1"/>
  <c r="E72" i="22" s="1"/>
  <c r="F27" i="35"/>
  <c r="F29" i="35" s="1"/>
  <c r="C40" i="33"/>
  <c r="C41" i="33" s="1"/>
  <c r="C43" i="33" s="1"/>
  <c r="C31" i="33"/>
  <c r="F32" i="33"/>
  <c r="F33" i="33" s="1"/>
  <c r="D32" i="33"/>
  <c r="D33" i="33" s="1"/>
  <c r="E35" i="33" s="1"/>
  <c r="E32" i="33"/>
  <c r="E33" i="33" s="1"/>
  <c r="F35" i="33" s="1"/>
  <c r="E19" i="33"/>
  <c r="F19" i="33"/>
  <c r="E18" i="33"/>
  <c r="D18" i="33"/>
  <c r="G20" i="33"/>
  <c r="G21" i="33" s="1"/>
  <c r="G23" i="33" s="1"/>
  <c r="F20" i="33"/>
  <c r="D17" i="33"/>
  <c r="C17" i="33"/>
  <c r="C21" i="33" s="1"/>
  <c r="C23" i="33" s="1"/>
  <c r="C26" i="30"/>
  <c r="C27" i="30" s="1"/>
  <c r="C29" i="30" s="1"/>
  <c r="C56" i="29"/>
  <c r="C63" i="29" s="1"/>
  <c r="F63" i="29" s="1"/>
  <c r="F55" i="29"/>
  <c r="F54" i="29"/>
  <c r="F58" i="29"/>
  <c r="C62" i="29"/>
  <c r="E56" i="29"/>
  <c r="E63" i="29" s="1"/>
  <c r="F37" i="29"/>
  <c r="F38" i="29"/>
  <c r="F31" i="29"/>
  <c r="D39" i="29"/>
  <c r="E33" i="29"/>
  <c r="E39" i="29"/>
  <c r="E40" i="29" s="1"/>
  <c r="C33" i="29"/>
  <c r="F32" i="29"/>
  <c r="C39" i="29"/>
  <c r="F35" i="29"/>
  <c r="F36" i="29"/>
  <c r="D33" i="29"/>
  <c r="D40" i="29" s="1"/>
  <c r="C18" i="29"/>
  <c r="F55" i="15"/>
  <c r="B65" i="15"/>
  <c r="C65" i="15" s="1"/>
  <c r="F60" i="15"/>
  <c r="F62" i="15"/>
  <c r="F56" i="15"/>
  <c r="F34" i="15"/>
  <c r="E35" i="15"/>
  <c r="F35" i="15" s="1"/>
  <c r="E43" i="15"/>
  <c r="F43" i="15" s="1"/>
  <c r="B21" i="15"/>
  <c r="C21" i="15" s="1"/>
  <c r="F42" i="15"/>
  <c r="F41" i="15"/>
  <c r="B44" i="15"/>
  <c r="C44" i="15" s="1"/>
  <c r="F39" i="15"/>
  <c r="F17" i="15"/>
  <c r="E12" i="15"/>
  <c r="F12" i="15" s="1"/>
  <c r="F16" i="15"/>
  <c r="E18" i="15"/>
  <c r="F11" i="15"/>
  <c r="F15" i="15"/>
  <c r="F19" i="15"/>
  <c r="F12" i="28"/>
  <c r="E13" i="28"/>
  <c r="F15" i="28"/>
  <c r="F19" i="28"/>
  <c r="F11" i="28"/>
  <c r="B21" i="28"/>
  <c r="B9" i="1"/>
  <c r="F62" i="29" l="1"/>
  <c r="F32" i="32"/>
  <c r="F39" i="29"/>
  <c r="D21" i="33"/>
  <c r="D23" i="33" s="1"/>
  <c r="E21" i="33"/>
  <c r="E23" i="33" s="1"/>
  <c r="F21" i="33"/>
  <c r="F23" i="33" s="1"/>
  <c r="C32" i="33"/>
  <c r="C33" i="33" s="1"/>
  <c r="D35" i="33" s="1"/>
  <c r="C30" i="30"/>
  <c r="C31" i="30" s="1"/>
  <c r="C33" i="30" s="1"/>
  <c r="F56" i="29"/>
  <c r="C40" i="29"/>
  <c r="F40" i="29" s="1"/>
  <c r="F33" i="29"/>
  <c r="E57" i="15"/>
  <c r="E64" i="15"/>
  <c r="F64" i="15" s="1"/>
  <c r="E36" i="15"/>
  <c r="F36" i="15" s="1"/>
  <c r="E13" i="15"/>
  <c r="F13" i="15" s="1"/>
  <c r="F18" i="15"/>
  <c r="E20" i="15"/>
  <c r="B24" i="28"/>
  <c r="C24" i="28" s="1"/>
  <c r="C21" i="28"/>
  <c r="E21" i="28"/>
  <c r="D13" i="28"/>
  <c r="F13" i="28"/>
  <c r="B49" i="6"/>
  <c r="B40" i="6"/>
  <c r="B41" i="6" s="1"/>
  <c r="B30" i="6"/>
  <c r="B31" i="6" s="1"/>
  <c r="B23" i="6"/>
  <c r="B17" i="6"/>
  <c r="B10" i="6"/>
  <c r="E44" i="15" l="1"/>
  <c r="F44" i="15" s="1"/>
  <c r="E65" i="15"/>
  <c r="F65" i="15" s="1"/>
  <c r="F57" i="15"/>
  <c r="F20" i="15"/>
  <c r="E21" i="15"/>
  <c r="F21" i="15" s="1"/>
  <c r="E24" i="28"/>
  <c r="F24" i="28" s="1"/>
  <c r="F21" i="28"/>
  <c r="B42" i="6"/>
  <c r="B43" i="6" s="1"/>
  <c r="G13" i="2" l="1"/>
  <c r="H13" i="2" s="1"/>
  <c r="G12" i="2"/>
  <c r="H12" i="2" s="1"/>
  <c r="G11" i="2"/>
  <c r="H11" i="2" s="1"/>
  <c r="B17" i="2"/>
  <c r="B15" i="2"/>
  <c r="B14" i="2"/>
  <c r="H10" i="1"/>
  <c r="G12" i="1"/>
  <c r="H12" i="1" s="1"/>
  <c r="G11" i="1"/>
  <c r="H11" i="1" s="1"/>
  <c r="G10" i="1"/>
  <c r="B19" i="1"/>
  <c r="B22" i="1"/>
  <c r="B20" i="1"/>
  <c r="B16" i="2" l="1"/>
  <c r="B18" i="2" s="1"/>
  <c r="B21" i="1"/>
  <c r="B23" i="1" s="1"/>
  <c r="B14" i="46"/>
  <c r="B15" i="46" s="1"/>
  <c r="B85" i="46" l="1"/>
  <c r="B24" i="46"/>
  <c r="C28" i="46" l="1"/>
  <c r="C24" i="46"/>
  <c r="C27" i="46" l="1"/>
  <c r="C29" i="46" s="1"/>
  <c r="D24" i="46"/>
  <c r="D27" i="46" s="1"/>
  <c r="D29" i="46" s="1"/>
  <c r="C65" i="46" l="1"/>
  <c r="C66" i="46" s="1"/>
  <c r="C77" i="46" s="1"/>
  <c r="C113" i="46"/>
  <c r="C114" i="46" s="1"/>
  <c r="C125" i="46" s="1"/>
  <c r="B65" i="46"/>
  <c r="B113" i="46"/>
  <c r="E113" i="46" l="1"/>
  <c r="B114" i="46"/>
  <c r="B66" i="46"/>
  <c r="E65" i="46"/>
  <c r="E66" i="46" l="1"/>
  <c r="B77" i="46"/>
  <c r="B125" i="46"/>
  <c r="E114" i="46"/>
  <c r="B127" i="46" l="1"/>
  <c r="C126" i="46" s="1"/>
  <c r="C127" i="46" s="1"/>
  <c r="D126" i="46" s="1"/>
  <c r="D127" i="46" s="1"/>
  <c r="E125" i="46"/>
  <c r="E127" i="46" s="1"/>
  <c r="B79" i="46"/>
  <c r="E77" i="46"/>
  <c r="E79" i="46" s="1"/>
  <c r="B84" i="46" l="1"/>
  <c r="B86" i="46" s="1"/>
  <c r="C78" i="46"/>
  <c r="C79" i="46" s="1"/>
  <c r="C84" i="46" l="1"/>
  <c r="C86" i="46" s="1"/>
  <c r="D78" i="46"/>
  <c r="D79" i="46" s="1"/>
  <c r="D84" i="46" s="1"/>
  <c r="D86" i="46" s="1"/>
</calcChain>
</file>

<file path=xl/sharedStrings.xml><?xml version="1.0" encoding="utf-8"?>
<sst xmlns="http://schemas.openxmlformats.org/spreadsheetml/2006/main" count="863" uniqueCount="426">
  <si>
    <t>Inndata</t>
  </si>
  <si>
    <t>Innkjøpspris per stk</t>
  </si>
  <si>
    <t>Budsjettert mengde</t>
  </si>
  <si>
    <t>Faste kostnader</t>
  </si>
  <si>
    <t>Resultatbudsjett:</t>
  </si>
  <si>
    <t>Salgsinntekter</t>
  </si>
  <si>
    <t>Varekostnad</t>
  </si>
  <si>
    <t>Dekningsbidrag</t>
  </si>
  <si>
    <t xml:space="preserve"> - faste kostnader</t>
  </si>
  <si>
    <t>Resultat</t>
  </si>
  <si>
    <t>salgspris uten mva</t>
  </si>
  <si>
    <t>mengde</t>
  </si>
  <si>
    <t>Oppr.verdi</t>
  </si>
  <si>
    <t>Kritisk verdi</t>
  </si>
  <si>
    <t>Margin</t>
  </si>
  <si>
    <t>Margin i %</t>
  </si>
  <si>
    <t>Salgspris  uten mva.</t>
  </si>
  <si>
    <t>innkjøpspris</t>
  </si>
  <si>
    <t>Pris uten mva per lekestue</t>
  </si>
  <si>
    <t>Inndata:</t>
  </si>
  <si>
    <t>Variable kostnader per enhet</t>
  </si>
  <si>
    <t>Faste kostnader per år</t>
  </si>
  <si>
    <t>Variable kostnader</t>
  </si>
  <si>
    <t>Oppr. verdi</t>
  </si>
  <si>
    <t>pris</t>
  </si>
  <si>
    <t>var.kostn.</t>
  </si>
  <si>
    <t>Juli</t>
  </si>
  <si>
    <t>Lønn</t>
  </si>
  <si>
    <t>Arbeidsgiveravgift av lønn</t>
  </si>
  <si>
    <t>Avskrivninger</t>
  </si>
  <si>
    <t>Sum driftskostnader</t>
  </si>
  <si>
    <t>Budsjettert driftsresultat</t>
  </si>
  <si>
    <t>Kvartalet</t>
  </si>
  <si>
    <t>Salgsbudsjett</t>
  </si>
  <si>
    <t>Merverdiavgift</t>
  </si>
  <si>
    <t>April</t>
  </si>
  <si>
    <t>= Bruttofortjeneste/DB</t>
  </si>
  <si>
    <t>+ merverdiavgift</t>
  </si>
  <si>
    <t>Lønnskostnader</t>
  </si>
  <si>
    <t>Varesalg med mva</t>
  </si>
  <si>
    <t>Husleie</t>
  </si>
  <si>
    <t>Andre driftskostnader</t>
  </si>
  <si>
    <t>Andel kontantsalg</t>
  </si>
  <si>
    <t>Sum faste kostnader</t>
  </si>
  <si>
    <t>Innbetalinger i</t>
  </si>
  <si>
    <t>Senere</t>
  </si>
  <si>
    <t>Utbetalinger til leverandører</t>
  </si>
  <si>
    <t>Varekjøp uten mva</t>
  </si>
  <si>
    <t>Varekjøp med mva</t>
  </si>
  <si>
    <t>Utbetaling til varekjøp</t>
  </si>
  <si>
    <t>Sum</t>
  </si>
  <si>
    <t>Innbetalinger:</t>
  </si>
  <si>
    <t>Sum innbetalinger</t>
  </si>
  <si>
    <t>Utbetalinger:</t>
  </si>
  <si>
    <t>Renter og avdrag</t>
  </si>
  <si>
    <t>Sum utbetalinger</t>
  </si>
  <si>
    <t>Innbetalingsoverskudd</t>
  </si>
  <si>
    <t>Salgsinntekt med mva.</t>
  </si>
  <si>
    <t>Salgsinntekt uten mva.</t>
  </si>
  <si>
    <t xml:space="preserve"> =B4/(1+B3), eventuelt =B4/1,25</t>
  </si>
  <si>
    <t>1.</t>
  </si>
  <si>
    <t>2.</t>
  </si>
  <si>
    <t>Bruttofortjeneste</t>
  </si>
  <si>
    <t>Varekostnaden</t>
  </si>
  <si>
    <t>Varekostnaden er (100 % - bruttofortjenesteprosenten), regnet av salgsinntektene</t>
  </si>
  <si>
    <t>Bruttofortjenesten regnes i % av salgsinntektene</t>
  </si>
  <si>
    <t>3.</t>
  </si>
  <si>
    <t>Avansen regnes i % av inntakskost (varekostnaden)</t>
  </si>
  <si>
    <t>4.</t>
  </si>
  <si>
    <t>Avanse</t>
  </si>
  <si>
    <t>Salgsinntekt uten mva</t>
  </si>
  <si>
    <t>5.</t>
  </si>
  <si>
    <t xml:space="preserve"> + beholdningsøkning</t>
  </si>
  <si>
    <t xml:space="preserve"> = varekjøp uten mva</t>
  </si>
  <si>
    <t>6.</t>
  </si>
  <si>
    <t>Varekjøp uten mva.</t>
  </si>
  <si>
    <t>25 % mva</t>
  </si>
  <si>
    <t>Varekjøp med mva.</t>
  </si>
  <si>
    <t>7.</t>
  </si>
  <si>
    <t xml:space="preserve"> + Kredittkjøp i juni</t>
  </si>
  <si>
    <t xml:space="preserve"> = utbetalt i juni</t>
  </si>
  <si>
    <t>Sett opp en T-konto. Utbetalingene er det beløpet kontoen er debitert med i juni.</t>
  </si>
  <si>
    <t>a)</t>
  </si>
  <si>
    <t>Følsomhetsanalyse:</t>
  </si>
  <si>
    <t>b)</t>
  </si>
  <si>
    <t>a) Resultatbudsjett</t>
  </si>
  <si>
    <t>b) Følsomhetsanalyse</t>
  </si>
  <si>
    <t xml:space="preserve"> =B17/(1+B16), evt. B17/1,5</t>
  </si>
  <si>
    <t xml:space="preserve"> = B26/(1+B23), evt. B26/2</t>
  </si>
  <si>
    <t>Salgspris med 25 % mva.</t>
  </si>
  <si>
    <t>Salgspris uten mva.</t>
  </si>
  <si>
    <t>Regnskap</t>
  </si>
  <si>
    <t>Endringer</t>
  </si>
  <si>
    <t>Budsjett</t>
  </si>
  <si>
    <t>År</t>
  </si>
  <si>
    <t>Prosent</t>
  </si>
  <si>
    <t>Kroner/</t>
  </si>
  <si>
    <t>av salget</t>
  </si>
  <si>
    <t>prosent</t>
  </si>
  <si>
    <t>varekostnad</t>
  </si>
  <si>
    <t>Bruttofortjeneste/DB</t>
  </si>
  <si>
    <t>Faste kostnader:</t>
  </si>
  <si>
    <t>Lønn og sosiale kostn.</t>
  </si>
  <si>
    <t>Markedsføringskostn.</t>
  </si>
  <si>
    <t>Rentekostnader</t>
  </si>
  <si>
    <t>Diverse driftskostnader</t>
  </si>
  <si>
    <t>Driftsresultat</t>
  </si>
  <si>
    <t>Renteinntekter</t>
  </si>
  <si>
    <t>Indirekte driftskostnader:</t>
  </si>
  <si>
    <t>Sum indirekte driftskostnader</t>
  </si>
  <si>
    <t>Resultat før skattekostnad</t>
  </si>
  <si>
    <t>1. halvår</t>
  </si>
  <si>
    <t>1.halvår</t>
  </si>
  <si>
    <t>Leie av lokaler</t>
  </si>
  <si>
    <t>Reklamekostnad</t>
  </si>
  <si>
    <t>a) Resultatbudsjettet viser en nedgang på kr 12 680 i forhold til første halvår året før.</t>
  </si>
  <si>
    <t xml:space="preserve">b) Hvis vi forsøker å målsøke direkte på salgsinntekten, får vi tilbakemelding om at cellen må </t>
  </si>
  <si>
    <t>blir 0 dersom salgsinntektene bare øker med 12 %.</t>
  </si>
  <si>
    <t xml:space="preserve">inneholde en verdi (ikke en formel). Målsøker vi på prosentvis salgsøkning, ser vi at driftsresultatet </t>
  </si>
  <si>
    <t>Vi har her forutsatt uforandret bruttofortjeneste slik at varekostnaden synker i takt med salgs-</t>
  </si>
  <si>
    <t>inntekten. Vi har også forutsatt at reklamekostnaden synker i takt med salgsinntekten.</t>
  </si>
  <si>
    <t xml:space="preserve">Dersom vi forutsetter at både varekostnaden og reklamekostnaden er uforandret når salget synker, </t>
  </si>
  <si>
    <t>finner vi at kritisk verdi for salgsøkningen er 17,2 %. Med disse forutsetningene må Blomster og</t>
  </si>
  <si>
    <t>Ting AS minst oppnå en salgsinntekt på kr 3 116 920 for å unngå et negativt driftsresultat. Bedriften</t>
  </si>
  <si>
    <t>har da svært lite å gå på.</t>
  </si>
  <si>
    <t>Alternativ 2</t>
  </si>
  <si>
    <t>–</t>
  </si>
  <si>
    <t>=</t>
  </si>
  <si>
    <t>Prosentfordeling</t>
  </si>
  <si>
    <t>Januar</t>
  </si>
  <si>
    <t>Februar</t>
  </si>
  <si>
    <t>Mars</t>
  </si>
  <si>
    <t>Salgsinntekt</t>
  </si>
  <si>
    <t>Månedsfordelt budsjett</t>
  </si>
  <si>
    <t xml:space="preserve">Budsjett </t>
  </si>
  <si>
    <t>Lønn og sosiale kostnader</t>
  </si>
  <si>
    <t>Bruttofortjeneste/dekningsbidrag</t>
  </si>
  <si>
    <t>Bruttofortjeneste/Dekningsbidrag</t>
  </si>
  <si>
    <t>August</t>
  </si>
  <si>
    <t>September</t>
  </si>
  <si>
    <t xml:space="preserve">Budsjettet for tredje kvartal </t>
  </si>
  <si>
    <t>c)</t>
  </si>
  <si>
    <r>
      <t>Månedsfordelt budsjett</t>
    </r>
    <r>
      <rPr>
        <i/>
        <sz val="12"/>
        <rFont val="Arial"/>
        <family val="2"/>
      </rPr>
      <t xml:space="preserve"> (tallene er avrundet til nærmeste hele 10 kr)</t>
    </r>
  </si>
  <si>
    <t>Inneværende måned</t>
  </si>
  <si>
    <t>Neste måned</t>
  </si>
  <si>
    <t>30 dager</t>
  </si>
  <si>
    <t>15 dager</t>
  </si>
  <si>
    <t>10 dager</t>
  </si>
  <si>
    <t>20 dager</t>
  </si>
  <si>
    <t>5 dager</t>
  </si>
  <si>
    <t>Ikke noe</t>
  </si>
  <si>
    <t>Alt kredittsalget i foregående måned</t>
  </si>
  <si>
    <t>Halvparten</t>
  </si>
  <si>
    <t xml:space="preserve"> 2/3</t>
  </si>
  <si>
    <t xml:space="preserve"> 1/3</t>
  </si>
  <si>
    <t xml:space="preserve"> 5/6</t>
  </si>
  <si>
    <t xml:space="preserve"> 1/6</t>
  </si>
  <si>
    <t>kommer inn i neste måned dersom kreditt-tiden er:</t>
  </si>
  <si>
    <t>Salg uten mva i november</t>
  </si>
  <si>
    <t>Gjennomsnittlig bruttofortjeneste</t>
  </si>
  <si>
    <t>Utdata:</t>
  </si>
  <si>
    <t>Salg uten mva</t>
  </si>
  <si>
    <t>– bruttofortjeneste</t>
  </si>
  <si>
    <t>= Varekostnad</t>
  </si>
  <si>
    <t>+ beholdningsendring</t>
  </si>
  <si>
    <t>= Varekjøp uten mva</t>
  </si>
  <si>
    <t>= Varekjøp med mva</t>
  </si>
  <si>
    <t>Utbetalinger i desember</t>
  </si>
  <si>
    <t>Oktober</t>
  </si>
  <si>
    <t>November</t>
  </si>
  <si>
    <t>Desember</t>
  </si>
  <si>
    <t>Salgsinntekter uten mva.</t>
  </si>
  <si>
    <t>25 % merverdiavgift</t>
  </si>
  <si>
    <t>Salgsinntekter med mva</t>
  </si>
  <si>
    <t>Budsjetterte innbetalinger i 4. kvartal</t>
  </si>
  <si>
    <t>c) Halvparten av salget er kontant, resten per én måned:</t>
  </si>
  <si>
    <t>Kredittid</t>
  </si>
  <si>
    <t>En måned</t>
  </si>
  <si>
    <t>Kredittsalg</t>
  </si>
  <si>
    <t>Mva</t>
  </si>
  <si>
    <t>Innbetalinger</t>
  </si>
  <si>
    <t>Salgsmåned</t>
  </si>
  <si>
    <t>Salgsinnt. med mva</t>
  </si>
  <si>
    <t>Kontant-salg</t>
  </si>
  <si>
    <t>Kreditt-  salg</t>
  </si>
  <si>
    <t>Sum innbetalinger fra kontant- og kredittsalget</t>
  </si>
  <si>
    <t>a) Ved kontantsalg er innbetalingene lik varesalget med mva.</t>
  </si>
  <si>
    <t>b) Ved salg per én måned kommer innbetalingene en måned etter at salget finner sted.</t>
  </si>
  <si>
    <t>a) Salgsbudsjett</t>
  </si>
  <si>
    <t>Varesalg uten mva</t>
  </si>
  <si>
    <t>b) Innbetalinger fra kunder</t>
  </si>
  <si>
    <t>per 15 dager</t>
  </si>
  <si>
    <t>Kundefordringer 1.1.</t>
  </si>
  <si>
    <t>Innbetalt fra kredittsalg</t>
  </si>
  <si>
    <t>Kontantsalg</t>
  </si>
  <si>
    <t>Innbetalt fra varesalget</t>
  </si>
  <si>
    <t>c, d) Utbetalinger til leverandører</t>
  </si>
  <si>
    <t>e) Resultatbudsjett</t>
  </si>
  <si>
    <t>Perioden</t>
  </si>
  <si>
    <t>Salgsinntekter uten mva</t>
  </si>
  <si>
    <t>– varekostnader</t>
  </si>
  <si>
    <t>= Avanse/bruttofortjeneste</t>
  </si>
  <si>
    <t>– indirekte kostnader</t>
  </si>
  <si>
    <t>= Resultat</t>
  </si>
  <si>
    <t xml:space="preserve"> + ubenyttet kassekreditt</t>
  </si>
  <si>
    <t>Likviditetsbeholdning</t>
  </si>
  <si>
    <t xml:space="preserve"> - saldo på kassekredittkontoen</t>
  </si>
  <si>
    <t>Limit på kassekreditten</t>
  </si>
  <si>
    <t xml:space="preserve"> + bankinnskudd</t>
  </si>
  <si>
    <t xml:space="preserve">  Kontanter</t>
  </si>
  <si>
    <t>Limit på kassekreditten er 400 000</t>
  </si>
  <si>
    <t>Kassekreditt</t>
  </si>
  <si>
    <t>Bankinnskudd</t>
  </si>
  <si>
    <t>Kontanter</t>
  </si>
  <si>
    <t>Kredit</t>
  </si>
  <si>
    <t>Debet</t>
  </si>
  <si>
    <t>En bedrift har følgende saldoer på disse kontoene den 01.04.2014</t>
  </si>
  <si>
    <t>Pris per andel</t>
  </si>
  <si>
    <t>Innkjøpspris per såpe</t>
  </si>
  <si>
    <t>Forutsetter at kjøp og salg skjer kontant.</t>
  </si>
  <si>
    <t>Salgspris per såpe</t>
  </si>
  <si>
    <t>LIKVIDITETSBUDSJETT</t>
  </si>
  <si>
    <t>Sum sep-des.</t>
  </si>
  <si>
    <t>Salg av andeler</t>
  </si>
  <si>
    <t>Salg av stålsåper</t>
  </si>
  <si>
    <t>Registreringsavgift</t>
  </si>
  <si>
    <t>Utgifter til stiftelsesmøte</t>
  </si>
  <si>
    <t>Diverse reklamemateriell</t>
  </si>
  <si>
    <t>Diverse utgifter</t>
  </si>
  <si>
    <t>Innkjøp stålsåper</t>
  </si>
  <si>
    <t>Utgifter til julebord</t>
  </si>
  <si>
    <t>Inngående likviditetsreserve</t>
  </si>
  <si>
    <t>Utgående likviditetsreserve</t>
  </si>
  <si>
    <t>Salg uten mva.</t>
  </si>
  <si>
    <t>Salg med mva.</t>
  </si>
  <si>
    <t xml:space="preserve">Merverdiavgift </t>
  </si>
  <si>
    <t>Innbetalingsbudsjett</t>
  </si>
  <si>
    <t>Kredittsalg per 30 dager</t>
  </si>
  <si>
    <t xml:space="preserve">Januar </t>
  </si>
  <si>
    <t>Innbetalinger i 1. kvartal</t>
  </si>
  <si>
    <t>b) og c)</t>
  </si>
  <si>
    <t>Budsjett for varekjøp og utbetalinger til vareleverandører:</t>
  </si>
  <si>
    <t xml:space="preserve">Bruttofortjeneste </t>
  </si>
  <si>
    <t>Kredittandel varekjøp</t>
  </si>
  <si>
    <t xml:space="preserve">Kredittid </t>
  </si>
  <si>
    <t>dager</t>
  </si>
  <si>
    <t>Varesalg uten mva.</t>
  </si>
  <si>
    <t>Beholdningsendring</t>
  </si>
  <si>
    <t>Leverandørgjeld per 01.01. 2015</t>
  </si>
  <si>
    <t>d)</t>
  </si>
  <si>
    <t>Bankinnskudd per 01.01.2015</t>
  </si>
  <si>
    <t>Kontantbeholdning</t>
  </si>
  <si>
    <t xml:space="preserve">Ubenyttet kassekreditt </t>
  </si>
  <si>
    <t>Likviditetsreserve per 01.01.2015</t>
  </si>
  <si>
    <t>1. kvartal</t>
  </si>
  <si>
    <t xml:space="preserve">Innbetalinger </t>
  </si>
  <si>
    <t>Innbetalinger varesalg</t>
  </si>
  <si>
    <t>Utbetalinger til vareleverandører</t>
  </si>
  <si>
    <t>Lønnsutbetaling</t>
  </si>
  <si>
    <t>Skyldig arbeidsgiveravgift</t>
  </si>
  <si>
    <t>Husleie for 1. kvartal</t>
  </si>
  <si>
    <t>Inventar</t>
  </si>
  <si>
    <t>Avgiftspliktige driftskostnader</t>
  </si>
  <si>
    <t>Skyldig merverdiavgift</t>
  </si>
  <si>
    <t>Likviditetsreserve IB</t>
  </si>
  <si>
    <t>Likviditetsreserve UB</t>
  </si>
  <si>
    <t>RESULTATBUDSJETT</t>
  </si>
  <si>
    <t>Driftsinntekter:</t>
  </si>
  <si>
    <t>Driftskostnader:</t>
  </si>
  <si>
    <t>Lønn inkl. ferielønn og arbeidsg.avg.</t>
  </si>
  <si>
    <t>Budsjettert resultat før skattekostn.</t>
  </si>
  <si>
    <t xml:space="preserve">RESULTATBUDSJETT </t>
  </si>
  <si>
    <t>SUM</t>
  </si>
  <si>
    <t>Sum driftsinntekter</t>
  </si>
  <si>
    <t>Varekostnader</t>
  </si>
  <si>
    <t>Diverse indirekte driftskostnader</t>
  </si>
  <si>
    <t>Arbeidsgiveravgift</t>
  </si>
  <si>
    <t>Ferielønn</t>
  </si>
  <si>
    <t>Bruttolønn</t>
  </si>
  <si>
    <t>Arbeidsgiveravgift av ferielønn</t>
  </si>
  <si>
    <t>Lønnskostnad per måned</t>
  </si>
  <si>
    <t>Lønnskostnader i august og september:</t>
  </si>
  <si>
    <t xml:space="preserve"> - rentekostnader</t>
  </si>
  <si>
    <t>derfor ikke være med i årets resultatbudsjett.</t>
  </si>
  <si>
    <t>avrundes til</t>
  </si>
  <si>
    <t>2. halvår</t>
  </si>
  <si>
    <t xml:space="preserve"> - varekostnad</t>
  </si>
  <si>
    <t>Resultatbudsjett for 2. halvår 2014.</t>
  </si>
  <si>
    <t xml:space="preserve">Beregninger for likviditetsbudsjettet. </t>
  </si>
  <si>
    <t>Salgsbudsjettet:</t>
  </si>
  <si>
    <t xml:space="preserve">Juli </t>
  </si>
  <si>
    <t xml:space="preserve">August </t>
  </si>
  <si>
    <t>Utestående fordringer 01.07.</t>
  </si>
  <si>
    <t>Innbetales i:</t>
  </si>
  <si>
    <t>Innbet. kredittsalg (20 %)</t>
  </si>
  <si>
    <t>Innbet.kontantsalg (80 %)</t>
  </si>
  <si>
    <t>Varekjøp u/mva.</t>
  </si>
  <si>
    <t>Varekjøp m/mva.</t>
  </si>
  <si>
    <t>Utestående leverandørgjeld</t>
  </si>
  <si>
    <t>(avrundet)</t>
  </si>
  <si>
    <t>Utbetales i:</t>
  </si>
  <si>
    <t>Utbetalinger til leverandører:</t>
  </si>
  <si>
    <t>Lønnsutbetalinger</t>
  </si>
  <si>
    <t>Betalbare faste kostnader</t>
  </si>
  <si>
    <t>Oppussing lokaler</t>
  </si>
  <si>
    <t>Reklamekampanje</t>
  </si>
  <si>
    <t>IB likviditetsrserve</t>
  </si>
  <si>
    <t>UB likviditetsreserve</t>
  </si>
  <si>
    <t xml:space="preserve">c) </t>
  </si>
  <si>
    <t>Inngående beholdning</t>
  </si>
  <si>
    <t>4300 Varekjøp</t>
  </si>
  <si>
    <t>Varekjøp</t>
  </si>
  <si>
    <t>Råbalanse</t>
  </si>
  <si>
    <t>Balanse</t>
  </si>
  <si>
    <t>1460 Varebeholdning</t>
  </si>
  <si>
    <t>Avvik</t>
  </si>
  <si>
    <t>Prosent av</t>
  </si>
  <si>
    <t>Kroner</t>
  </si>
  <si>
    <t>salget</t>
  </si>
  <si>
    <t>budsjett</t>
  </si>
  <si>
    <t>Indirekte faste kostnader:</t>
  </si>
  <si>
    <t>Lys og oppvarming</t>
  </si>
  <si>
    <t>Leiekostnader</t>
  </si>
  <si>
    <t>Reparasjoner og vedl.</t>
  </si>
  <si>
    <t>Regnskap og revisjon</t>
  </si>
  <si>
    <t>Kontorkostnader</t>
  </si>
  <si>
    <t>Bilkostnader</t>
  </si>
  <si>
    <t>Forsikringer</t>
  </si>
  <si>
    <t>Vareforbruk</t>
  </si>
  <si>
    <t>Ordinære avskrivninger</t>
  </si>
  <si>
    <t>Finansinntekter</t>
  </si>
  <si>
    <t>Finanskostnader</t>
  </si>
  <si>
    <t>Resultat før skatt</t>
  </si>
  <si>
    <t>Strøm</t>
  </si>
  <si>
    <t>Salg og reklame</t>
  </si>
  <si>
    <t>Avvikskommentarer:</t>
  </si>
  <si>
    <t>% av salget</t>
  </si>
  <si>
    <t>Budsjett 2011</t>
  </si>
  <si>
    <t>Regnskap 2011</t>
  </si>
  <si>
    <t>Vi ser på forskjellen mellom budsjettert og realisert  bruttofortjeneste:</t>
  </si>
  <si>
    <t>Løsningsforslag oppgave 9.1</t>
  </si>
  <si>
    <t>Løsningsforslag oppgave 9.2</t>
  </si>
  <si>
    <t xml:space="preserve"> - leverandørgjeld 30.06.</t>
  </si>
  <si>
    <t>Leverandørgjeld per 01.06.</t>
  </si>
  <si>
    <t xml:space="preserve"> - beholdningsnedgang</t>
  </si>
  <si>
    <t>Løsningsforslag oppgave 9.3</t>
  </si>
  <si>
    <t>Ågot Vik</t>
  </si>
  <si>
    <t xml:space="preserve">Løsningsforslag oppgave 9.4 </t>
  </si>
  <si>
    <t>Løsningsforslag oppgave 9.5</t>
  </si>
  <si>
    <t>c) Salget målt i antall lekestuer, kan svikte med 38 % før overskuddet forsvinner</t>
  </si>
  <si>
    <t>Markedsføringskostnader</t>
  </si>
  <si>
    <t>Vanexa AS</t>
  </si>
  <si>
    <t xml:space="preserve">Løsningsforslag oppgave 9.6 </t>
  </si>
  <si>
    <t>Blomster og Ting AS</t>
  </si>
  <si>
    <t>Løsningsforslag oppgave 9.7</t>
  </si>
  <si>
    <t>Løsningsforslag oppgave 9.6</t>
  </si>
  <si>
    <r>
      <t>Hvor stor andel av</t>
    </r>
    <r>
      <rPr>
        <b/>
        <sz val="12"/>
        <color theme="1"/>
        <rFont val="Calibri"/>
        <family val="2"/>
        <scheme val="minor"/>
      </rPr>
      <t xml:space="preserve"> </t>
    </r>
    <r>
      <rPr>
        <sz val="12"/>
        <color theme="1"/>
        <rFont val="Calibri"/>
        <family val="2"/>
        <scheme val="minor"/>
      </rPr>
      <t xml:space="preserve">innbetalingene fra kredittsalget kommer inn i samme måned som salget finner sted, og hvor stor andel </t>
    </r>
  </si>
  <si>
    <t>Løsningsforslag oppgave 9.9</t>
  </si>
  <si>
    <t>Løsningsforslag oppgave 9.10</t>
  </si>
  <si>
    <t>Lises Kiosk</t>
  </si>
  <si>
    <t>Løsningsforslag oppgave 9.11</t>
  </si>
  <si>
    <t>Løsningsforslag oppgave 9.12</t>
  </si>
  <si>
    <t>Løsningsforslag oppgave 9.13</t>
  </si>
  <si>
    <t xml:space="preserve"> = Bedriftens likviditetsbeholdning</t>
  </si>
  <si>
    <t>= Ubenyttet kassekreditt</t>
  </si>
  <si>
    <t xml:space="preserve"> = Likviditetsreserve</t>
  </si>
  <si>
    <t>STÅLSÅPE UB</t>
  </si>
  <si>
    <t>Løsningsforslag oppgave 9.14</t>
  </si>
  <si>
    <t>a) Utestående fordringer per 01.01.2015: kr 337 500 (fra kredittsalget i desember)</t>
  </si>
  <si>
    <t>Fairytale AS</t>
  </si>
  <si>
    <t xml:space="preserve">Løsningsforslag oppgave 9.15 </t>
  </si>
  <si>
    <t>Datahuset AS (2)</t>
  </si>
  <si>
    <t>Løsningsforslag oppgave 9.17</t>
  </si>
  <si>
    <t>Feriepengene som ble utbetalt i juli, ble kostnadsført i opptjeningsåret (året før), og skal</t>
  </si>
  <si>
    <t>BOASSON SYKLER AS</t>
  </si>
  <si>
    <t xml:space="preserve">Løsningsforslag oppgave 9.18 </t>
  </si>
  <si>
    <t>Løsningsforslag oppgave 9.19</t>
  </si>
  <si>
    <t>Varekostnaden = varekjøpet + beholdningsnedgang</t>
  </si>
  <si>
    <t>Gullsmed Bengt Jansen AS</t>
  </si>
  <si>
    <t xml:space="preserve">Løsningsforslag oppgave 9.20 </t>
  </si>
  <si>
    <t>Sunco AS</t>
  </si>
  <si>
    <r>
      <rPr>
        <b/>
        <sz val="14"/>
        <rFont val="Calibri"/>
        <family val="2"/>
        <scheme val="minor"/>
      </rPr>
      <t>Løsningsforslag o</t>
    </r>
    <r>
      <rPr>
        <b/>
        <sz val="12"/>
        <rFont val="Arial"/>
        <family val="2"/>
      </rPr>
      <t xml:space="preserve">ppgave 9.21 </t>
    </r>
  </si>
  <si>
    <t>Zapo AS</t>
  </si>
  <si>
    <t>Løsningsforslag Oppgave 9.22</t>
  </si>
  <si>
    <t>Datahuset AS (eksamen vår 2010)</t>
  </si>
  <si>
    <t>Måned</t>
  </si>
  <si>
    <t>Juni</t>
  </si>
  <si>
    <t>Innbetalinger kredittsalg</t>
  </si>
  <si>
    <t>Innbetalinger kontantsalg</t>
  </si>
  <si>
    <t>Varekjøpsbudsjett</t>
  </si>
  <si>
    <t xml:space="preserve"> + 25 % mva.</t>
  </si>
  <si>
    <t>IB leverandører</t>
  </si>
  <si>
    <t>Kredittkjøp</t>
  </si>
  <si>
    <t xml:space="preserve"> Sum utbet.varekjøp</t>
  </si>
  <si>
    <t>Avrundet</t>
  </si>
  <si>
    <t>Beregning av skyldig arbeidsgiveravgift for 4. termin:</t>
  </si>
  <si>
    <t>Skyldig arbeidsgiveravgift av augustlønnen</t>
  </si>
  <si>
    <t>Skal betales 15. september:</t>
  </si>
  <si>
    <t>Avgiftspliktige indirekte faste kostnader skal føres opp med mva. i likv.budsj.</t>
  </si>
  <si>
    <t>Limit kassekreditt</t>
  </si>
  <si>
    <t xml:space="preserve"> + kontanter og bankinnsk.</t>
  </si>
  <si>
    <t xml:space="preserve"> = likviditetsreserve 01.07.</t>
  </si>
  <si>
    <t>Innbetalinger fra varesalget</t>
  </si>
  <si>
    <t>Utbet. til vareleverandører</t>
  </si>
  <si>
    <t>Lønn/ferielønn</t>
  </si>
  <si>
    <t>Indirekte faste kostnader</t>
  </si>
  <si>
    <t>Merverdiavgift for 3. termin</t>
  </si>
  <si>
    <t>Investering</t>
  </si>
  <si>
    <t>Renter og avdrag pantelån</t>
  </si>
  <si>
    <t>Likviditetsmål, 10 % av salget</t>
  </si>
  <si>
    <t>Likviditetsmessig virkning av en reduksjon i kredittiden til leverandører:</t>
  </si>
  <si>
    <t>Vi setter opp utbetalingsbudsjettet til leverandører på nytt, nå med kredittid på 5 dager.</t>
  </si>
  <si>
    <t>Innsatt i likviditetsbudsjettet får reduksjonen av kredittid denne virkningen:</t>
  </si>
  <si>
    <t>Utbetales i</t>
  </si>
  <si>
    <t xml:space="preserve">Avrundet til nærmeste 100 </t>
  </si>
  <si>
    <t>Likviditetsmål</t>
  </si>
  <si>
    <t>av salget i måneden</t>
  </si>
  <si>
    <t>Juni ,skyldig per 30.06</t>
  </si>
  <si>
    <t xml:space="preserve">Løsningsforslag oppgave 9.16  </t>
  </si>
  <si>
    <t>1/3 av kjøpet betales i kjøpsmnd. og 2/3 i neste</t>
  </si>
  <si>
    <t>5/6 av kjøpet betales i kjøpsmnd. og 1/6 i neste</t>
  </si>
  <si>
    <t>Løsning ved bruk av ferdigmodell kan avvike noe på grunn av avrundinger</t>
  </si>
  <si>
    <t>Skyldig arbeidsgiveravgift av ferielønn</t>
  </si>
  <si>
    <t>Utbetalinger</t>
  </si>
  <si>
    <t xml:space="preserve"> - saldo per 30.06</t>
  </si>
  <si>
    <t xml:space="preserve"> = ubenyttet kassekreditt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</si>
</sst>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
    <numFmt numFmtId="165" formatCode="_(&quot;kr&quot;\ * #,##0_);_(&quot;kr&quot;\ * \(#,##0\);_(&quot;kr&quot;\ * &quot;-&quot;_);_(@_)"/>
  </numFmts>
  <fonts count="26" x14ac:knownFonts="1">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b/>
      <sz val="11"/>
      <color theme="1"/>
      <name val="Calibri"/>
      <family val="2"/>
      <scheme val="minor"/>
    </font>
    <font>
      <i/>
      <sz val="11"/>
      <color theme="1"/>
      <name val="Calibri"/>
      <family val="2"/>
      <scheme val="minor"/>
    </font>
    <font>
      <b/>
      <sz val="12"/>
      <name val="Arial"/>
      <family val="2"/>
    </font>
    <font>
      <sz val="12"/>
      <color theme="1"/>
      <name val="Calibri"/>
      <family val="2"/>
      <scheme val="minor"/>
    </font>
    <font>
      <i/>
      <sz val="12"/>
      <name val="Arial"/>
      <family val="2"/>
    </font>
    <font>
      <i/>
      <sz val="12"/>
      <name val="Calibri"/>
      <family val="2"/>
      <scheme val="minor"/>
    </font>
    <font>
      <b/>
      <sz val="12"/>
      <color theme="1"/>
      <name val="Calibri"/>
      <family val="2"/>
      <scheme val="minor"/>
    </font>
    <font>
      <sz val="12"/>
      <name val="Arial"/>
      <family val="2"/>
    </font>
    <font>
      <b/>
      <sz val="12"/>
      <color theme="1"/>
      <name val="Times New Roman"/>
      <family val="1"/>
    </font>
    <font>
      <sz val="12"/>
      <name val="Calibri"/>
      <family val="2"/>
      <scheme val="minor"/>
    </font>
    <font>
      <sz val="10"/>
      <color theme="1"/>
      <name val="Calibri"/>
      <family val="2"/>
      <scheme val="minor"/>
    </font>
    <font>
      <i/>
      <sz val="12"/>
      <color theme="1"/>
      <name val="Calibri"/>
      <family val="2"/>
      <scheme val="minor"/>
    </font>
    <font>
      <sz val="11"/>
      <name val="Arial"/>
      <family val="2"/>
    </font>
    <font>
      <sz val="11"/>
      <color theme="1"/>
      <name val="Arial"/>
      <family val="2"/>
    </font>
    <font>
      <i/>
      <sz val="11"/>
      <name val="Arial"/>
      <family val="2"/>
    </font>
    <font>
      <sz val="10"/>
      <name val="Arial"/>
      <family val="2"/>
    </font>
    <font>
      <sz val="12"/>
      <color theme="1"/>
      <name val="Arial"/>
      <family val="2"/>
    </font>
    <font>
      <b/>
      <sz val="12"/>
      <color theme="1"/>
      <name val="Arial"/>
      <family val="2"/>
    </font>
    <font>
      <b/>
      <sz val="14"/>
      <color theme="1"/>
      <name val="Calibri"/>
      <family val="2"/>
      <scheme val="minor"/>
    </font>
    <font>
      <sz val="14"/>
      <name val="Calibri"/>
      <family val="2"/>
      <scheme val="minor"/>
    </font>
    <font>
      <b/>
      <sz val="14"/>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3" fillId="0" borderId="0"/>
    <xf numFmtId="0" fontId="20" fillId="0" borderId="0"/>
  </cellStyleXfs>
  <cellXfs count="325">
    <xf numFmtId="0" fontId="0" fillId="0" borderId="0" xfId="0"/>
    <xf numFmtId="9" fontId="0" fillId="0" borderId="0" xfId="0" applyNumberFormat="1"/>
    <xf numFmtId="3" fontId="0" fillId="0" borderId="0" xfId="0" applyNumberFormat="1"/>
    <xf numFmtId="3" fontId="0" fillId="0" borderId="1" xfId="0" applyNumberFormat="1" applyBorder="1"/>
    <xf numFmtId="3" fontId="0" fillId="0" borderId="2" xfId="0" applyNumberFormat="1" applyBorder="1"/>
    <xf numFmtId="0" fontId="0" fillId="0" borderId="0" xfId="0" applyAlignment="1">
      <alignment horizontal="center"/>
    </xf>
    <xf numFmtId="9" fontId="0" fillId="0" borderId="0" xfId="1" applyFont="1"/>
    <xf numFmtId="9" fontId="0" fillId="0" borderId="0" xfId="1" applyFont="1" applyAlignment="1">
      <alignment horizontal="center"/>
    </xf>
    <xf numFmtId="3" fontId="0" fillId="0" borderId="3" xfId="0" applyNumberFormat="1" applyBorder="1"/>
    <xf numFmtId="3" fontId="0" fillId="0" borderId="5" xfId="0" applyNumberFormat="1" applyBorder="1"/>
    <xf numFmtId="0" fontId="0" fillId="0" borderId="0" xfId="0" applyBorder="1"/>
    <xf numFmtId="3" fontId="0" fillId="0" borderId="6" xfId="0" applyNumberFormat="1" applyBorder="1"/>
    <xf numFmtId="3" fontId="0" fillId="0" borderId="4" xfId="0" applyNumberFormat="1" applyBorder="1"/>
    <xf numFmtId="3" fontId="0" fillId="0" borderId="0" xfId="0" applyNumberFormat="1" applyBorder="1"/>
    <xf numFmtId="3" fontId="0" fillId="0" borderId="7" xfId="0" applyNumberFormat="1" applyBorder="1"/>
    <xf numFmtId="3" fontId="0" fillId="0" borderId="10" xfId="0" applyNumberFormat="1" applyBorder="1"/>
    <xf numFmtId="0" fontId="0" fillId="0" borderId="7" xfId="0" applyBorder="1"/>
    <xf numFmtId="0" fontId="0" fillId="0" borderId="6" xfId="0" applyBorder="1"/>
    <xf numFmtId="0" fontId="0" fillId="0" borderId="0" xfId="0" applyAlignment="1">
      <alignment horizontal="right"/>
    </xf>
    <xf numFmtId="3" fontId="0" fillId="0" borderId="12" xfId="0" applyNumberFormat="1" applyBorder="1"/>
    <xf numFmtId="0" fontId="5" fillId="0" borderId="0" xfId="0" applyFont="1"/>
    <xf numFmtId="1" fontId="0" fillId="0" borderId="0" xfId="0" applyNumberFormat="1" applyAlignment="1">
      <alignment horizontal="center"/>
    </xf>
    <xf numFmtId="0" fontId="6" fillId="0" borderId="0" xfId="0" applyFont="1"/>
    <xf numFmtId="164" fontId="0" fillId="0" borderId="0" xfId="0" applyNumberFormat="1" applyBorder="1" applyAlignment="1">
      <alignment horizontal="right"/>
    </xf>
    <xf numFmtId="164" fontId="0" fillId="0" borderId="0" xfId="0" applyNumberFormat="1" applyBorder="1"/>
    <xf numFmtId="0" fontId="7" fillId="0" borderId="13" xfId="0" applyFont="1" applyBorder="1"/>
    <xf numFmtId="0" fontId="7" fillId="0" borderId="0" xfId="0" applyFont="1" applyBorder="1" applyAlignment="1">
      <alignment horizontal="center"/>
    </xf>
    <xf numFmtId="0" fontId="8" fillId="0" borderId="0" xfId="0" applyFont="1" applyBorder="1"/>
    <xf numFmtId="3" fontId="8" fillId="0" borderId="7" xfId="0" applyNumberFormat="1" applyFont="1" applyBorder="1"/>
    <xf numFmtId="164" fontId="8" fillId="0" borderId="7" xfId="0" applyNumberFormat="1" applyFont="1" applyBorder="1" applyAlignment="1">
      <alignment horizontal="right"/>
    </xf>
    <xf numFmtId="9" fontId="8" fillId="0" borderId="7" xfId="0" applyNumberFormat="1" applyFont="1" applyBorder="1"/>
    <xf numFmtId="164" fontId="8" fillId="0" borderId="7" xfId="0" applyNumberFormat="1" applyFont="1" applyBorder="1"/>
    <xf numFmtId="0" fontId="8" fillId="0" borderId="0" xfId="0" quotePrefix="1" applyFont="1" applyBorder="1" applyAlignment="1">
      <alignment horizontal="left"/>
    </xf>
    <xf numFmtId="3" fontId="8" fillId="0" borderId="6" xfId="0" applyNumberFormat="1" applyFont="1" applyBorder="1"/>
    <xf numFmtId="3" fontId="8" fillId="0" borderId="4" xfId="0" applyNumberFormat="1" applyFont="1" applyBorder="1"/>
    <xf numFmtId="164" fontId="8" fillId="0" borderId="6" xfId="0" applyNumberFormat="1" applyFont="1" applyBorder="1" applyAlignment="1">
      <alignment horizontal="right"/>
    </xf>
    <xf numFmtId="164" fontId="8" fillId="0" borderId="6" xfId="0" applyNumberFormat="1" applyFont="1" applyBorder="1"/>
    <xf numFmtId="0" fontId="9" fillId="0" borderId="0" xfId="0" applyFont="1" applyBorder="1"/>
    <xf numFmtId="0" fontId="8" fillId="0" borderId="0" xfId="0" applyFont="1" applyFill="1" applyBorder="1"/>
    <xf numFmtId="164" fontId="8" fillId="0" borderId="4" xfId="0" applyNumberFormat="1" applyFont="1" applyBorder="1" applyAlignment="1">
      <alignment horizontal="right"/>
    </xf>
    <xf numFmtId="164" fontId="8" fillId="0" borderId="4" xfId="0" applyNumberFormat="1" applyFont="1" applyBorder="1"/>
    <xf numFmtId="3" fontId="8" fillId="0" borderId="14" xfId="0" applyNumberFormat="1" applyFont="1" applyBorder="1"/>
    <xf numFmtId="164" fontId="8" fillId="0" borderId="1" xfId="0" applyNumberFormat="1" applyFont="1" applyBorder="1" applyAlignment="1">
      <alignment horizontal="right"/>
    </xf>
    <xf numFmtId="3" fontId="8" fillId="0" borderId="11" xfId="0" applyNumberFormat="1" applyFont="1" applyBorder="1"/>
    <xf numFmtId="164" fontId="8" fillId="0" borderId="1" xfId="0" applyNumberFormat="1" applyFont="1" applyBorder="1"/>
    <xf numFmtId="3" fontId="8" fillId="0" borderId="15" xfId="0" applyNumberFormat="1" applyFont="1" applyBorder="1"/>
    <xf numFmtId="164" fontId="8" fillId="0" borderId="10" xfId="0" applyNumberFormat="1" applyFont="1" applyBorder="1" applyAlignment="1">
      <alignment horizontal="right"/>
    </xf>
    <xf numFmtId="164" fontId="8" fillId="0" borderId="10" xfId="0" applyNumberFormat="1" applyFont="1" applyBorder="1"/>
    <xf numFmtId="0" fontId="7" fillId="2" borderId="4" xfId="0" applyFont="1" applyFill="1" applyBorder="1"/>
    <xf numFmtId="0" fontId="7" fillId="2" borderId="5" xfId="0" applyFont="1" applyFill="1" applyBorder="1" applyAlignment="1">
      <alignment horizontal="center"/>
    </xf>
    <xf numFmtId="0" fontId="7" fillId="2" borderId="6" xfId="0" applyFont="1" applyFill="1" applyBorder="1" applyAlignment="1">
      <alignment horizontal="center"/>
    </xf>
    <xf numFmtId="0" fontId="8" fillId="0" borderId="0" xfId="0" applyFont="1"/>
    <xf numFmtId="0" fontId="10" fillId="0" borderId="0" xfId="0" applyFont="1" applyBorder="1"/>
    <xf numFmtId="0" fontId="11" fillId="0" borderId="0" xfId="0" applyFont="1"/>
    <xf numFmtId="3" fontId="8" fillId="0" borderId="10" xfId="0" applyNumberFormat="1" applyFont="1" applyBorder="1"/>
    <xf numFmtId="0" fontId="11" fillId="0" borderId="0" xfId="0" applyFont="1" applyFill="1" applyBorder="1"/>
    <xf numFmtId="0" fontId="2" fillId="0" borderId="0" xfId="2" quotePrefix="1" applyFont="1" applyAlignment="1">
      <alignment horizontal="left"/>
    </xf>
    <xf numFmtId="0" fontId="3" fillId="0" borderId="0" xfId="2"/>
    <xf numFmtId="0" fontId="2" fillId="0" borderId="0" xfId="2" applyFont="1"/>
    <xf numFmtId="10" fontId="3" fillId="0" borderId="0" xfId="2" applyNumberFormat="1"/>
    <xf numFmtId="0" fontId="4" fillId="0" borderId="0" xfId="2" applyFont="1"/>
    <xf numFmtId="0" fontId="12" fillId="0" borderId="0" xfId="2" applyFont="1"/>
    <xf numFmtId="0" fontId="12" fillId="0" borderId="0" xfId="2" applyFont="1" applyAlignment="1">
      <alignment horizontal="center"/>
    </xf>
    <xf numFmtId="0" fontId="7" fillId="0" borderId="0" xfId="2" applyFont="1" applyAlignment="1">
      <alignment horizontal="center"/>
    </xf>
    <xf numFmtId="0" fontId="7" fillId="0" borderId="0" xfId="2" quotePrefix="1" applyFont="1" applyAlignment="1">
      <alignment horizontal="left"/>
    </xf>
    <xf numFmtId="0" fontId="7" fillId="0" borderId="0" xfId="2" quotePrefix="1" applyFont="1" applyBorder="1" applyAlignment="1">
      <alignment horizontal="left"/>
    </xf>
    <xf numFmtId="0" fontId="7" fillId="0" borderId="0" xfId="2" applyFont="1"/>
    <xf numFmtId="0" fontId="7" fillId="0" borderId="0" xfId="2" applyFont="1" applyBorder="1" applyAlignment="1">
      <alignment horizontal="center" wrapText="1"/>
    </xf>
    <xf numFmtId="0" fontId="7" fillId="0" borderId="0" xfId="2" applyFont="1" applyBorder="1"/>
    <xf numFmtId="0" fontId="12" fillId="0" borderId="0" xfId="2" applyFont="1" applyBorder="1" applyAlignment="1">
      <alignment horizontal="center"/>
    </xf>
    <xf numFmtId="0" fontId="12" fillId="0" borderId="0" xfId="2" applyFont="1" applyBorder="1"/>
    <xf numFmtId="3" fontId="12" fillId="0" borderId="0" xfId="2" applyNumberFormat="1" applyFont="1" applyBorder="1"/>
    <xf numFmtId="164" fontId="12" fillId="0" borderId="0" xfId="2" applyNumberFormat="1" applyFont="1" applyBorder="1"/>
    <xf numFmtId="0" fontId="12" fillId="0" borderId="0" xfId="2" quotePrefix="1" applyFont="1" applyBorder="1" applyAlignment="1">
      <alignment horizontal="center"/>
    </xf>
    <xf numFmtId="0" fontId="12" fillId="0" borderId="0" xfId="2" quotePrefix="1" applyFont="1" applyBorder="1" applyAlignment="1">
      <alignment horizontal="left"/>
    </xf>
    <xf numFmtId="3" fontId="12" fillId="0" borderId="1" xfId="2" applyNumberFormat="1" applyFont="1" applyBorder="1"/>
    <xf numFmtId="3" fontId="12" fillId="0" borderId="3" xfId="2" applyNumberFormat="1" applyFont="1" applyBorder="1"/>
    <xf numFmtId="0" fontId="9" fillId="0" borderId="0" xfId="2" applyFont="1" applyBorder="1"/>
    <xf numFmtId="3" fontId="12" fillId="0" borderId="2" xfId="2" applyNumberFormat="1" applyFont="1" applyBorder="1"/>
    <xf numFmtId="164" fontId="12" fillId="0" borderId="0" xfId="2" applyNumberFormat="1" applyFont="1" applyBorder="1" applyAlignment="1">
      <alignment horizontal="right"/>
    </xf>
    <xf numFmtId="0" fontId="7" fillId="0" borderId="0" xfId="2" applyFont="1" applyBorder="1" applyAlignment="1">
      <alignment horizontal="center"/>
    </xf>
    <xf numFmtId="0" fontId="7" fillId="0" borderId="0" xfId="2" applyFont="1" applyBorder="1" applyAlignment="1">
      <alignment horizontal="right"/>
    </xf>
    <xf numFmtId="0" fontId="7" fillId="0" borderId="0" xfId="2" applyFont="1" applyAlignment="1">
      <alignment horizontal="right"/>
    </xf>
    <xf numFmtId="10" fontId="12" fillId="0" borderId="0" xfId="2" applyNumberFormat="1" applyFont="1"/>
    <xf numFmtId="0" fontId="7" fillId="0" borderId="4" xfId="2" applyFont="1" applyBorder="1" applyAlignment="1">
      <alignment horizontal="center"/>
    </xf>
    <xf numFmtId="0" fontId="7" fillId="0" borderId="4" xfId="2" quotePrefix="1" applyFont="1" applyBorder="1" applyAlignment="1">
      <alignment horizontal="center"/>
    </xf>
    <xf numFmtId="3" fontId="12" fillId="0" borderId="5" xfId="2" applyNumberFormat="1" applyFont="1" applyBorder="1"/>
    <xf numFmtId="0" fontId="12" fillId="0" borderId="0" xfId="2" quotePrefix="1" applyFont="1" applyAlignment="1">
      <alignment horizontal="center"/>
    </xf>
    <xf numFmtId="0" fontId="12" fillId="0" borderId="0" xfId="2" quotePrefix="1" applyFont="1" applyAlignment="1">
      <alignment horizontal="left"/>
    </xf>
    <xf numFmtId="3" fontId="12" fillId="0" borderId="6" xfId="2" applyNumberFormat="1" applyFont="1" applyBorder="1"/>
    <xf numFmtId="3" fontId="12" fillId="0" borderId="4" xfId="2" applyNumberFormat="1" applyFont="1" applyBorder="1"/>
    <xf numFmtId="0" fontId="9" fillId="0" borderId="0" xfId="2" applyFont="1"/>
    <xf numFmtId="3" fontId="12" fillId="0" borderId="7" xfId="2" applyNumberFormat="1" applyFont="1" applyBorder="1"/>
    <xf numFmtId="3" fontId="12" fillId="0" borderId="10" xfId="2" applyNumberFormat="1" applyFont="1" applyBorder="1"/>
    <xf numFmtId="0" fontId="13" fillId="0" borderId="0" xfId="0" applyFont="1" applyAlignment="1">
      <alignment vertical="center"/>
    </xf>
    <xf numFmtId="165" fontId="3" fillId="0" borderId="0" xfId="2" applyNumberFormat="1"/>
    <xf numFmtId="165" fontId="3" fillId="0" borderId="1" xfId="2" applyNumberFormat="1" applyBorder="1"/>
    <xf numFmtId="0" fontId="3" fillId="0" borderId="0" xfId="2" quotePrefix="1"/>
    <xf numFmtId="165" fontId="3" fillId="0" borderId="3" xfId="2" applyNumberFormat="1" applyBorder="1"/>
    <xf numFmtId="165" fontId="3" fillId="0" borderId="12" xfId="2" applyNumberFormat="1" applyBorder="1"/>
    <xf numFmtId="165" fontId="3" fillId="0" borderId="2" xfId="2" applyNumberFormat="1" applyBorder="1"/>
    <xf numFmtId="165" fontId="3" fillId="0" borderId="0" xfId="2" applyNumberFormat="1" applyBorder="1"/>
    <xf numFmtId="0" fontId="0" fillId="0" borderId="0" xfId="0" applyFont="1"/>
    <xf numFmtId="3" fontId="0" fillId="0" borderId="0" xfId="0" applyNumberFormat="1" applyFont="1"/>
    <xf numFmtId="3" fontId="0" fillId="0" borderId="3" xfId="0" applyNumberFormat="1" applyFont="1" applyBorder="1"/>
    <xf numFmtId="0" fontId="5" fillId="3" borderId="0" xfId="0" applyFont="1" applyFill="1"/>
    <xf numFmtId="3" fontId="0" fillId="3" borderId="0" xfId="0" applyNumberFormat="1" applyFill="1"/>
    <xf numFmtId="0" fontId="0" fillId="3" borderId="0" xfId="0" applyFill="1"/>
    <xf numFmtId="0" fontId="0" fillId="3" borderId="0" xfId="0" applyFill="1" applyAlignment="1">
      <alignment horizontal="right"/>
    </xf>
    <xf numFmtId="0" fontId="0" fillId="3" borderId="0" xfId="0" applyFill="1" applyAlignment="1">
      <alignment wrapText="1"/>
    </xf>
    <xf numFmtId="9" fontId="0" fillId="3" borderId="0" xfId="0" applyNumberFormat="1" applyFill="1" applyAlignment="1">
      <alignment wrapText="1"/>
    </xf>
    <xf numFmtId="9" fontId="0" fillId="3" borderId="0" xfId="0" applyNumberFormat="1" applyFill="1" applyAlignment="1">
      <alignment horizontal="left" wrapText="1"/>
    </xf>
    <xf numFmtId="3" fontId="0" fillId="3" borderId="0" xfId="0" applyNumberFormat="1" applyFill="1" applyAlignment="1">
      <alignment wrapText="1"/>
    </xf>
    <xf numFmtId="9" fontId="0" fillId="3" borderId="0" xfId="0" applyNumberFormat="1" applyFill="1"/>
    <xf numFmtId="9" fontId="0" fillId="3" borderId="0" xfId="0" applyNumberFormat="1" applyFill="1" applyAlignment="1">
      <alignment horizontal="left"/>
    </xf>
    <xf numFmtId="0" fontId="5" fillId="3" borderId="0" xfId="0" applyFont="1" applyFill="1" applyAlignment="1">
      <alignment horizontal="center"/>
    </xf>
    <xf numFmtId="0" fontId="0" fillId="3" borderId="4" xfId="0" applyFill="1" applyBorder="1" applyAlignment="1">
      <alignment horizontal="left" wrapText="1"/>
    </xf>
    <xf numFmtId="3" fontId="0" fillId="3" borderId="4" xfId="0" quotePrefix="1" applyNumberFormat="1" applyFont="1" applyFill="1" applyBorder="1" applyAlignment="1">
      <alignment horizontal="left" wrapText="1"/>
    </xf>
    <xf numFmtId="3" fontId="0" fillId="3" borderId="4" xfId="0" quotePrefix="1" applyNumberFormat="1" applyFill="1" applyBorder="1" applyAlignment="1">
      <alignment horizontal="left" wrapText="1"/>
    </xf>
    <xf numFmtId="0" fontId="0" fillId="3" borderId="4" xfId="0" applyFill="1" applyBorder="1" applyAlignment="1">
      <alignment horizontal="center" wrapText="1"/>
    </xf>
    <xf numFmtId="0" fontId="0" fillId="3" borderId="4" xfId="0" applyFill="1" applyBorder="1" applyAlignment="1">
      <alignment horizontal="left"/>
    </xf>
    <xf numFmtId="3" fontId="0" fillId="3" borderId="4" xfId="0" applyNumberFormat="1" applyFill="1" applyBorder="1" applyAlignment="1">
      <alignment horizontal="right"/>
    </xf>
    <xf numFmtId="3" fontId="0" fillId="3" borderId="4" xfId="0" applyNumberFormat="1" applyFill="1" applyBorder="1"/>
    <xf numFmtId="0" fontId="0" fillId="2" borderId="4" xfId="0" quotePrefix="1" applyFill="1" applyBorder="1" applyAlignment="1">
      <alignment horizontal="left"/>
    </xf>
    <xf numFmtId="3" fontId="0" fillId="2" borderId="4" xfId="0" applyNumberFormat="1" applyFill="1" applyBorder="1"/>
    <xf numFmtId="3" fontId="5" fillId="2" borderId="4" xfId="0" applyNumberFormat="1" applyFont="1" applyFill="1" applyBorder="1"/>
    <xf numFmtId="3" fontId="0" fillId="0" borderId="1" xfId="0" applyNumberFormat="1" applyFont="1" applyBorder="1"/>
    <xf numFmtId="0" fontId="2" fillId="0" borderId="0" xfId="2" applyFont="1" applyAlignment="1">
      <alignment horizontal="right"/>
    </xf>
    <xf numFmtId="0" fontId="2" fillId="0" borderId="0" xfId="2" quotePrefix="1" applyFont="1" applyAlignment="1">
      <alignment horizontal="right"/>
    </xf>
    <xf numFmtId="3" fontId="3" fillId="0" borderId="0" xfId="2" applyNumberFormat="1"/>
    <xf numFmtId="0" fontId="3" fillId="0" borderId="0" xfId="2" quotePrefix="1" applyAlignment="1">
      <alignment horizontal="left"/>
    </xf>
    <xf numFmtId="9" fontId="3" fillId="0" borderId="0" xfId="2" applyNumberFormat="1"/>
    <xf numFmtId="3" fontId="3" fillId="0" borderId="1" xfId="2" applyNumberFormat="1" applyBorder="1"/>
    <xf numFmtId="3" fontId="3" fillId="0" borderId="3" xfId="2" applyNumberFormat="1" applyBorder="1"/>
    <xf numFmtId="3" fontId="3" fillId="0" borderId="0" xfId="2" applyNumberFormat="1" applyBorder="1"/>
    <xf numFmtId="0" fontId="3" fillId="0" borderId="1" xfId="2" applyBorder="1"/>
    <xf numFmtId="0" fontId="2" fillId="0" borderId="5" xfId="2" applyFont="1" applyBorder="1" applyAlignment="1">
      <alignment horizontal="center"/>
    </xf>
    <xf numFmtId="0" fontId="2" fillId="0" borderId="1" xfId="2" applyFont="1" applyBorder="1" applyAlignment="1">
      <alignment horizontal="right"/>
    </xf>
    <xf numFmtId="0" fontId="2" fillId="0" borderId="6" xfId="2" applyFont="1" applyBorder="1" applyAlignment="1">
      <alignment horizontal="center"/>
    </xf>
    <xf numFmtId="3" fontId="2" fillId="0" borderId="4" xfId="2" applyNumberFormat="1" applyFont="1" applyBorder="1" applyAlignment="1">
      <alignment horizontal="right"/>
    </xf>
    <xf numFmtId="3" fontId="2" fillId="0" borderId="11" xfId="2" applyNumberFormat="1" applyFont="1" applyBorder="1" applyAlignment="1">
      <alignment horizontal="right"/>
    </xf>
    <xf numFmtId="0" fontId="2" fillId="0" borderId="6" xfId="2" applyFont="1" applyBorder="1" applyAlignment="1">
      <alignment horizontal="right"/>
    </xf>
    <xf numFmtId="3" fontId="3" fillId="0" borderId="5" xfId="2" applyNumberFormat="1" applyBorder="1"/>
    <xf numFmtId="0" fontId="3" fillId="0" borderId="5" xfId="2" applyBorder="1"/>
    <xf numFmtId="3" fontId="3" fillId="0" borderId="7" xfId="2" applyNumberFormat="1" applyBorder="1"/>
    <xf numFmtId="0" fontId="3" fillId="0" borderId="7" xfId="2" applyBorder="1"/>
    <xf numFmtId="3" fontId="3" fillId="0" borderId="6" xfId="2" applyNumberFormat="1" applyBorder="1"/>
    <xf numFmtId="3" fontId="3" fillId="0" borderId="4" xfId="2" applyNumberFormat="1" applyBorder="1"/>
    <xf numFmtId="0" fontId="3" fillId="0" borderId="0" xfId="2" applyFont="1"/>
    <xf numFmtId="3" fontId="3" fillId="0" borderId="0" xfId="2" applyNumberFormat="1" applyFont="1" applyAlignment="1">
      <alignment horizontal="right"/>
    </xf>
    <xf numFmtId="3" fontId="3" fillId="0" borderId="0" xfId="2" quotePrefix="1" applyNumberFormat="1" applyFont="1" applyAlignment="1">
      <alignment horizontal="right"/>
    </xf>
    <xf numFmtId="3" fontId="3" fillId="0" borderId="0" xfId="2" applyNumberFormat="1" applyFont="1"/>
    <xf numFmtId="9" fontId="3" fillId="0" borderId="0" xfId="2" applyNumberFormat="1" applyFont="1"/>
    <xf numFmtId="3" fontId="3" fillId="0" borderId="1" xfId="2" applyNumberFormat="1" applyFont="1" applyBorder="1" applyAlignment="1">
      <alignment horizontal="right"/>
    </xf>
    <xf numFmtId="3" fontId="3" fillId="0" borderId="1" xfId="2" applyNumberFormat="1" applyFill="1" applyBorder="1"/>
    <xf numFmtId="3" fontId="3" fillId="0" borderId="2" xfId="2" applyNumberFormat="1" applyBorder="1"/>
    <xf numFmtId="0" fontId="0" fillId="0" borderId="4" xfId="0" applyBorder="1"/>
    <xf numFmtId="0" fontId="5" fillId="0" borderId="4" xfId="0" applyFont="1" applyBorder="1"/>
    <xf numFmtId="0" fontId="0" fillId="0" borderId="20" xfId="0" applyBorder="1"/>
    <xf numFmtId="0" fontId="0" fillId="0" borderId="21" xfId="0" applyBorder="1"/>
    <xf numFmtId="0" fontId="0" fillId="0" borderId="1" xfId="0" applyBorder="1"/>
    <xf numFmtId="0" fontId="0" fillId="0" borderId="2" xfId="0" applyBorder="1"/>
    <xf numFmtId="0" fontId="5" fillId="0" borderId="0" xfId="0" applyFont="1" applyAlignment="1">
      <alignment horizontal="right"/>
    </xf>
    <xf numFmtId="3" fontId="0" fillId="0" borderId="0" xfId="0" applyNumberFormat="1" applyAlignment="1">
      <alignment horizontal="right"/>
    </xf>
    <xf numFmtId="3" fontId="5" fillId="0" borderId="0" xfId="0" applyNumberFormat="1" applyFont="1" applyAlignment="1">
      <alignment horizontal="right"/>
    </xf>
    <xf numFmtId="3" fontId="0" fillId="0" borderId="1" xfId="0" applyNumberFormat="1" applyBorder="1" applyAlignment="1">
      <alignment horizontal="right"/>
    </xf>
    <xf numFmtId="3" fontId="0" fillId="0" borderId="0" xfId="0" applyNumberFormat="1" applyBorder="1" applyAlignment="1">
      <alignment horizontal="right"/>
    </xf>
    <xf numFmtId="3" fontId="5" fillId="0" borderId="12" xfId="0" applyNumberFormat="1" applyFont="1" applyBorder="1" applyAlignment="1">
      <alignment horizontal="right"/>
    </xf>
    <xf numFmtId="3" fontId="5" fillId="0" borderId="0" xfId="0" applyNumberFormat="1" applyFont="1" applyBorder="1" applyAlignment="1">
      <alignment horizontal="right"/>
    </xf>
    <xf numFmtId="3" fontId="5" fillId="0" borderId="2" xfId="0" applyNumberFormat="1" applyFont="1" applyBorder="1"/>
    <xf numFmtId="0" fontId="0" fillId="0" borderId="0" xfId="0" applyBorder="1" applyAlignment="1">
      <alignment horizontal="center"/>
    </xf>
    <xf numFmtId="0" fontId="0" fillId="0" borderId="0" xfId="0" applyFill="1" applyBorder="1" applyAlignment="1">
      <alignment horizontal="center"/>
    </xf>
    <xf numFmtId="3" fontId="0" fillId="0" borderId="1" xfId="0" applyNumberFormat="1" applyBorder="1" applyAlignment="1">
      <alignment horizontal="center"/>
    </xf>
    <xf numFmtId="3" fontId="0" fillId="0" borderId="0" xfId="0" applyNumberFormat="1" applyBorder="1" applyAlignment="1">
      <alignment horizontal="center"/>
    </xf>
    <xf numFmtId="3" fontId="0" fillId="0" borderId="0" xfId="0" applyNumberFormat="1" applyAlignment="1">
      <alignment horizontal="center"/>
    </xf>
    <xf numFmtId="3" fontId="0" fillId="0" borderId="3" xfId="0" applyNumberFormat="1" applyBorder="1" applyAlignment="1">
      <alignment horizontal="center"/>
    </xf>
    <xf numFmtId="0" fontId="0" fillId="0" borderId="1" xfId="0" applyBorder="1" applyAlignment="1">
      <alignment horizontal="center"/>
    </xf>
    <xf numFmtId="3" fontId="5" fillId="0" borderId="3" xfId="0" applyNumberFormat="1" applyFont="1" applyBorder="1" applyAlignment="1">
      <alignment horizontal="center"/>
    </xf>
    <xf numFmtId="3" fontId="5" fillId="0" borderId="1" xfId="0" applyNumberFormat="1" applyFont="1" applyBorder="1" applyAlignment="1">
      <alignment horizontal="center"/>
    </xf>
    <xf numFmtId="10" fontId="0" fillId="0" borderId="0" xfId="0" applyNumberFormat="1"/>
    <xf numFmtId="1" fontId="0" fillId="0" borderId="1" xfId="0" applyNumberFormat="1" applyBorder="1"/>
    <xf numFmtId="3" fontId="0" fillId="0" borderId="0" xfId="0" applyNumberFormat="1" applyFill="1" applyBorder="1"/>
    <xf numFmtId="3" fontId="5" fillId="0" borderId="0" xfId="0" applyNumberFormat="1" applyFont="1" applyBorder="1"/>
    <xf numFmtId="0" fontId="5" fillId="0" borderId="22" xfId="0" applyFont="1" applyBorder="1"/>
    <xf numFmtId="3" fontId="5" fillId="0" borderId="22" xfId="0" applyNumberFormat="1" applyFont="1" applyBorder="1"/>
    <xf numFmtId="9" fontId="8" fillId="0" borderId="6" xfId="0" applyNumberFormat="1" applyFont="1" applyBorder="1"/>
    <xf numFmtId="3" fontId="8" fillId="0" borderId="0" xfId="0" applyNumberFormat="1" applyFont="1" applyBorder="1"/>
    <xf numFmtId="164" fontId="8" fillId="0" borderId="0" xfId="0" applyNumberFormat="1" applyFont="1" applyBorder="1" applyAlignment="1">
      <alignment horizontal="right"/>
    </xf>
    <xf numFmtId="9" fontId="8" fillId="0" borderId="0" xfId="0" applyNumberFormat="1" applyFont="1" applyBorder="1"/>
    <xf numFmtId="164" fontId="8" fillId="0" borderId="0" xfId="0" applyNumberFormat="1" applyFont="1" applyBorder="1"/>
    <xf numFmtId="3" fontId="8" fillId="0" borderId="0" xfId="0" applyNumberFormat="1" applyFont="1" applyBorder="1" applyAlignment="1">
      <alignment horizontal="left"/>
    </xf>
    <xf numFmtId="0" fontId="11" fillId="0" borderId="0" xfId="0" quotePrefix="1" applyFont="1" applyBorder="1" applyAlignment="1">
      <alignment horizontal="left"/>
    </xf>
    <xf numFmtId="0" fontId="14" fillId="0" borderId="0" xfId="0" applyFont="1" applyBorder="1"/>
    <xf numFmtId="3" fontId="8" fillId="0" borderId="0" xfId="0" applyNumberFormat="1" applyFont="1" applyBorder="1" applyAlignment="1">
      <alignment horizontal="right"/>
    </xf>
    <xf numFmtId="3" fontId="8" fillId="0" borderId="1" xfId="0" applyNumberFormat="1" applyFont="1" applyBorder="1"/>
    <xf numFmtId="3" fontId="8" fillId="0" borderId="3" xfId="0" applyNumberFormat="1" applyFont="1" applyBorder="1"/>
    <xf numFmtId="3" fontId="11" fillId="0" borderId="0" xfId="0" applyNumberFormat="1" applyFont="1" applyBorder="1"/>
    <xf numFmtId="3" fontId="11" fillId="0" borderId="0" xfId="0" applyNumberFormat="1" applyFont="1" applyBorder="1" applyAlignment="1">
      <alignment horizontal="center"/>
    </xf>
    <xf numFmtId="164" fontId="11" fillId="0" borderId="0" xfId="0" applyNumberFormat="1" applyFont="1" applyBorder="1" applyAlignment="1">
      <alignment horizontal="center"/>
    </xf>
    <xf numFmtId="9" fontId="11" fillId="0" borderId="0" xfId="0" applyNumberFormat="1" applyFont="1" applyBorder="1" applyAlignment="1">
      <alignment horizontal="center"/>
    </xf>
    <xf numFmtId="0" fontId="11" fillId="0" borderId="0" xfId="0" applyFont="1" applyBorder="1"/>
    <xf numFmtId="3" fontId="15" fillId="0" borderId="0" xfId="0" applyNumberFormat="1" applyFont="1" applyBorder="1"/>
    <xf numFmtId="164" fontId="15" fillId="0" borderId="0" xfId="0" applyNumberFormat="1" applyFont="1" applyBorder="1" applyAlignment="1">
      <alignment horizontal="right"/>
    </xf>
    <xf numFmtId="164" fontId="11" fillId="0" borderId="0" xfId="0" applyNumberFormat="1" applyFont="1" applyBorder="1"/>
    <xf numFmtId="0" fontId="16" fillId="0" borderId="0" xfId="0" applyFont="1" applyFill="1" applyBorder="1"/>
    <xf numFmtId="3" fontId="11" fillId="0" borderId="4" xfId="0" applyNumberFormat="1" applyFont="1" applyBorder="1" applyAlignment="1">
      <alignment horizontal="center"/>
    </xf>
    <xf numFmtId="164" fontId="11" fillId="0" borderId="4" xfId="0" applyNumberFormat="1" applyFont="1" applyBorder="1" applyAlignment="1">
      <alignment horizontal="center"/>
    </xf>
    <xf numFmtId="3" fontId="8" fillId="0" borderId="4" xfId="0" applyNumberFormat="1" applyFont="1" applyBorder="1" applyAlignment="1">
      <alignment horizontal="center"/>
    </xf>
    <xf numFmtId="164" fontId="8" fillId="0" borderId="4" xfId="0" applyNumberFormat="1" applyFont="1" applyBorder="1" applyAlignment="1">
      <alignment horizontal="center"/>
    </xf>
    <xf numFmtId="3" fontId="0" fillId="0" borderId="20" xfId="0" applyNumberFormat="1" applyBorder="1"/>
    <xf numFmtId="3" fontId="0" fillId="0" borderId="21" xfId="0" applyNumberFormat="1" applyBorder="1"/>
    <xf numFmtId="0" fontId="0" fillId="0" borderId="25" xfId="0" applyBorder="1"/>
    <xf numFmtId="0" fontId="0" fillId="0" borderId="14" xfId="0" applyBorder="1"/>
    <xf numFmtId="3" fontId="0" fillId="0" borderId="25" xfId="0" applyNumberFormat="1" applyBorder="1"/>
    <xf numFmtId="3" fontId="0" fillId="0" borderId="23" xfId="0" applyNumberFormat="1" applyBorder="1"/>
    <xf numFmtId="0" fontId="0" fillId="0" borderId="24" xfId="0" applyBorder="1"/>
    <xf numFmtId="3" fontId="0" fillId="0" borderId="14" xfId="0" applyNumberFormat="1" applyBorder="1"/>
    <xf numFmtId="0" fontId="0" fillId="0" borderId="13" xfId="0" applyBorder="1"/>
    <xf numFmtId="0" fontId="0" fillId="0" borderId="11" xfId="0" applyBorder="1"/>
    <xf numFmtId="3" fontId="0" fillId="0" borderId="26" xfId="0" applyNumberFormat="1" applyBorder="1"/>
    <xf numFmtId="3" fontId="5" fillId="0" borderId="13" xfId="0" applyNumberFormat="1" applyFont="1" applyBorder="1"/>
    <xf numFmtId="0" fontId="12" fillId="2" borderId="5" xfId="2" applyFont="1" applyFill="1" applyBorder="1" applyAlignment="1">
      <alignment horizontal="center"/>
    </xf>
    <xf numFmtId="0" fontId="12" fillId="2" borderId="5" xfId="2" quotePrefix="1" applyFont="1" applyFill="1" applyBorder="1" applyAlignment="1">
      <alignment horizontal="center"/>
    </xf>
    <xf numFmtId="0" fontId="12" fillId="2" borderId="6" xfId="2" applyFont="1" applyFill="1" applyBorder="1" applyAlignment="1">
      <alignment horizontal="center"/>
    </xf>
    <xf numFmtId="0" fontId="12" fillId="3" borderId="0" xfId="2" applyFont="1" applyFill="1"/>
    <xf numFmtId="0" fontId="12" fillId="3" borderId="1" xfId="2" applyFont="1" applyFill="1" applyBorder="1"/>
    <xf numFmtId="0" fontId="7" fillId="3" borderId="27" xfId="2" quotePrefix="1" applyFont="1" applyFill="1" applyBorder="1" applyAlignment="1">
      <alignment horizontal="left"/>
    </xf>
    <xf numFmtId="0" fontId="18" fillId="0" borderId="0" xfId="0" applyFont="1"/>
    <xf numFmtId="0" fontId="18" fillId="0" borderId="0" xfId="0" quotePrefix="1" applyFont="1" applyAlignment="1">
      <alignment horizontal="left"/>
    </xf>
    <xf numFmtId="0" fontId="19" fillId="0" borderId="0" xfId="0" applyFont="1"/>
    <xf numFmtId="0" fontId="18" fillId="0" borderId="1" xfId="0" applyFont="1" applyBorder="1"/>
    <xf numFmtId="0" fontId="18" fillId="0" borderId="3" xfId="0" quotePrefix="1" applyFont="1" applyBorder="1" applyAlignment="1">
      <alignment horizontal="left"/>
    </xf>
    <xf numFmtId="3" fontId="17" fillId="0" borderId="7" xfId="2" applyNumberFormat="1" applyFont="1" applyBorder="1"/>
    <xf numFmtId="164" fontId="17" fillId="0" borderId="7" xfId="2" applyNumberFormat="1" applyFont="1" applyBorder="1"/>
    <xf numFmtId="3" fontId="17" fillId="0" borderId="4" xfId="2" applyNumberFormat="1" applyFont="1" applyBorder="1"/>
    <xf numFmtId="164" fontId="17" fillId="0" borderId="4" xfId="2" applyNumberFormat="1" applyFont="1" applyBorder="1"/>
    <xf numFmtId="3" fontId="17" fillId="0" borderId="10" xfId="2" applyNumberFormat="1" applyFont="1" applyBorder="1"/>
    <xf numFmtId="164" fontId="17" fillId="0" borderId="10" xfId="2" applyNumberFormat="1" applyFont="1" applyBorder="1"/>
    <xf numFmtId="0" fontId="7" fillId="0" borderId="0" xfId="3" applyFont="1"/>
    <xf numFmtId="0" fontId="12" fillId="0" borderId="0" xfId="3" applyFont="1"/>
    <xf numFmtId="0" fontId="7" fillId="0" borderId="0" xfId="3" quotePrefix="1" applyFont="1" applyAlignment="1">
      <alignment horizontal="left"/>
    </xf>
    <xf numFmtId="0" fontId="12" fillId="0" borderId="1" xfId="3" applyFont="1" applyBorder="1"/>
    <xf numFmtId="3" fontId="12" fillId="0" borderId="7" xfId="3" applyNumberFormat="1" applyFont="1" applyBorder="1"/>
    <xf numFmtId="164" fontId="12" fillId="0" borderId="7" xfId="3" applyNumberFormat="1" applyFont="1" applyBorder="1"/>
    <xf numFmtId="0" fontId="12" fillId="0" borderId="0" xfId="3" quotePrefix="1" applyFont="1" applyAlignment="1">
      <alignment horizontal="left"/>
    </xf>
    <xf numFmtId="3" fontId="12" fillId="0" borderId="4" xfId="3" applyNumberFormat="1" applyFont="1" applyBorder="1"/>
    <xf numFmtId="164" fontId="12" fillId="0" borderId="4" xfId="3" applyNumberFormat="1" applyFont="1" applyBorder="1"/>
    <xf numFmtId="0" fontId="9" fillId="0" borderId="0" xfId="3" quotePrefix="1" applyFont="1" applyAlignment="1">
      <alignment horizontal="left"/>
    </xf>
    <xf numFmtId="3" fontId="12" fillId="0" borderId="0" xfId="3" applyNumberFormat="1" applyFont="1"/>
    <xf numFmtId="0" fontId="12" fillId="0" borderId="3" xfId="3" quotePrefix="1" applyFont="1" applyBorder="1" applyAlignment="1">
      <alignment horizontal="left"/>
    </xf>
    <xf numFmtId="3" fontId="12" fillId="0" borderId="10" xfId="3" applyNumberFormat="1" applyFont="1" applyBorder="1"/>
    <xf numFmtId="164" fontId="12" fillId="0" borderId="10" xfId="3" applyNumberFormat="1" applyFont="1" applyBorder="1"/>
    <xf numFmtId="0" fontId="12" fillId="2" borderId="5" xfId="3" applyFont="1" applyFill="1" applyBorder="1" applyAlignment="1">
      <alignment horizontal="center"/>
    </xf>
    <xf numFmtId="0" fontId="12" fillId="2" borderId="5" xfId="3" quotePrefix="1" applyFont="1" applyFill="1" applyBorder="1" applyAlignment="1">
      <alignment horizontal="center"/>
    </xf>
    <xf numFmtId="0" fontId="12" fillId="2" borderId="6" xfId="3" applyFont="1" applyFill="1" applyBorder="1" applyAlignment="1">
      <alignment horizontal="center"/>
    </xf>
    <xf numFmtId="3" fontId="12" fillId="0" borderId="29" xfId="3" applyNumberFormat="1" applyFont="1" applyBorder="1"/>
    <xf numFmtId="164" fontId="12" fillId="0" borderId="29" xfId="3" applyNumberFormat="1" applyFont="1" applyBorder="1"/>
    <xf numFmtId="0" fontId="7" fillId="0" borderId="28" xfId="3" applyFont="1" applyBorder="1"/>
    <xf numFmtId="3" fontId="7" fillId="0" borderId="29" xfId="3" applyNumberFormat="1" applyFont="1" applyBorder="1"/>
    <xf numFmtId="3" fontId="12" fillId="0" borderId="25" xfId="3" applyNumberFormat="1" applyFont="1" applyBorder="1"/>
    <xf numFmtId="3" fontId="12" fillId="0" borderId="30" xfId="3" applyNumberFormat="1" applyFont="1" applyBorder="1"/>
    <xf numFmtId="3" fontId="7" fillId="0" borderId="31" xfId="3" applyNumberFormat="1" applyFont="1" applyBorder="1"/>
    <xf numFmtId="3" fontId="7" fillId="0" borderId="30" xfId="3" applyNumberFormat="1" applyFont="1" applyBorder="1"/>
    <xf numFmtId="164" fontId="12" fillId="0" borderId="0" xfId="3" applyNumberFormat="1" applyFont="1" applyBorder="1"/>
    <xf numFmtId="3" fontId="12" fillId="0" borderId="0" xfId="3" applyNumberFormat="1" applyFont="1" applyBorder="1"/>
    <xf numFmtId="3" fontId="12" fillId="0" borderId="28" xfId="3" applyNumberFormat="1" applyFont="1" applyBorder="1"/>
    <xf numFmtId="3" fontId="7" fillId="0" borderId="32" xfId="3" applyNumberFormat="1" applyFont="1" applyBorder="1"/>
    <xf numFmtId="3" fontId="7" fillId="0" borderId="28" xfId="3" applyNumberFormat="1" applyFont="1" applyBorder="1"/>
    <xf numFmtId="164" fontId="12" fillId="0" borderId="28" xfId="3" applyNumberFormat="1" applyFont="1" applyBorder="1"/>
    <xf numFmtId="164" fontId="12" fillId="0" borderId="32" xfId="3" applyNumberFormat="1" applyFont="1" applyBorder="1"/>
    <xf numFmtId="0" fontId="21" fillId="3" borderId="0" xfId="0" applyFont="1" applyFill="1"/>
    <xf numFmtId="3" fontId="21" fillId="3" borderId="0" xfId="0" applyNumberFormat="1" applyFont="1" applyFill="1"/>
    <xf numFmtId="164" fontId="21" fillId="3" borderId="0" xfId="0" applyNumberFormat="1" applyFont="1" applyFill="1"/>
    <xf numFmtId="3" fontId="21" fillId="3" borderId="1" xfId="0" applyNumberFormat="1" applyFont="1" applyFill="1" applyBorder="1"/>
    <xf numFmtId="164" fontId="21" fillId="3" borderId="1" xfId="0" applyNumberFormat="1" applyFont="1" applyFill="1" applyBorder="1"/>
    <xf numFmtId="0" fontId="21" fillId="3" borderId="0" xfId="0" applyFont="1" applyFill="1" applyBorder="1"/>
    <xf numFmtId="0" fontId="23" fillId="0" borderId="0" xfId="0" applyFont="1"/>
    <xf numFmtId="0" fontId="0" fillId="0" borderId="0" xfId="0" quotePrefix="1" applyAlignment="1">
      <alignment horizontal="left"/>
    </xf>
    <xf numFmtId="0" fontId="23" fillId="0" borderId="0" xfId="0" quotePrefix="1" applyFont="1" applyAlignment="1">
      <alignment horizontal="left"/>
    </xf>
    <xf numFmtId="0" fontId="7" fillId="2" borderId="5" xfId="0" quotePrefix="1" applyFont="1" applyFill="1" applyBorder="1" applyAlignment="1">
      <alignment horizontal="center"/>
    </xf>
    <xf numFmtId="0" fontId="24" fillId="0" borderId="0" xfId="2" applyFont="1"/>
    <xf numFmtId="0" fontId="25" fillId="0" borderId="0" xfId="2" applyFont="1"/>
    <xf numFmtId="0" fontId="8" fillId="0" borderId="0" xfId="0" applyFont="1" applyAlignment="1">
      <alignment vertical="center"/>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16" fontId="8" fillId="0" borderId="19" xfId="0" applyNumberFormat="1" applyFont="1" applyBorder="1" applyAlignment="1">
      <alignment vertical="center" wrapText="1"/>
    </xf>
    <xf numFmtId="0" fontId="25" fillId="0" borderId="0" xfId="2" quotePrefix="1" applyFont="1" applyAlignment="1">
      <alignment horizontal="left"/>
    </xf>
    <xf numFmtId="17" fontId="25" fillId="0" borderId="0" xfId="2" quotePrefix="1" applyNumberFormat="1" applyFont="1" applyAlignment="1">
      <alignment horizontal="left"/>
    </xf>
    <xf numFmtId="0" fontId="0" fillId="0" borderId="0" xfId="0" applyFont="1" applyAlignment="1">
      <alignment vertical="center"/>
    </xf>
    <xf numFmtId="0" fontId="16" fillId="0" borderId="0" xfId="0" applyFont="1"/>
    <xf numFmtId="3" fontId="0" fillId="0" borderId="0" xfId="0" applyNumberFormat="1" applyFont="1" applyAlignment="1">
      <alignment horizontal="right"/>
    </xf>
    <xf numFmtId="0" fontId="5" fillId="0" borderId="0" xfId="0" quotePrefix="1" applyFont="1" applyAlignment="1">
      <alignment horizontal="left"/>
    </xf>
    <xf numFmtId="3" fontId="8" fillId="0" borderId="0" xfId="0" applyNumberFormat="1" applyFont="1"/>
    <xf numFmtId="3" fontId="8" fillId="0" borderId="33" xfId="0" applyNumberFormat="1" applyFont="1" applyBorder="1"/>
    <xf numFmtId="3" fontId="8" fillId="0" borderId="20" xfId="0" applyNumberFormat="1" applyFont="1" applyBorder="1"/>
    <xf numFmtId="3" fontId="23" fillId="0" borderId="0" xfId="0" quotePrefix="1" applyNumberFormat="1" applyFont="1" applyAlignment="1">
      <alignment horizontal="left"/>
    </xf>
    <xf numFmtId="3" fontId="11" fillId="0" borderId="0" xfId="0" applyNumberFormat="1" applyFont="1"/>
    <xf numFmtId="3" fontId="11" fillId="0" borderId="0" xfId="0" applyNumberFormat="1" applyFont="1" applyAlignment="1">
      <alignment horizontal="center"/>
    </xf>
    <xf numFmtId="3" fontId="16" fillId="0" borderId="0" xfId="0" applyNumberFormat="1" applyFont="1"/>
    <xf numFmtId="9" fontId="8" fillId="0" borderId="0" xfId="1" applyFont="1"/>
    <xf numFmtId="3" fontId="11" fillId="0" borderId="6" xfId="0" applyNumberFormat="1" applyFont="1" applyBorder="1"/>
    <xf numFmtId="3" fontId="11" fillId="0" borderId="20" xfId="0" applyNumberFormat="1" applyFont="1" applyBorder="1"/>
    <xf numFmtId="3" fontId="11" fillId="0" borderId="0" xfId="0" applyNumberFormat="1" applyFont="1" applyAlignment="1"/>
    <xf numFmtId="3" fontId="11" fillId="0" borderId="0" xfId="0" applyNumberFormat="1" applyFont="1" applyAlignment="1">
      <alignment horizontal="center"/>
    </xf>
    <xf numFmtId="3" fontId="8" fillId="0" borderId="0" xfId="0" applyNumberFormat="1" applyFont="1" applyAlignment="1">
      <alignment horizontal="center"/>
    </xf>
    <xf numFmtId="0" fontId="7" fillId="2" borderId="8" xfId="0" applyFont="1" applyFill="1" applyBorder="1" applyAlignment="1">
      <alignment horizontal="center"/>
    </xf>
    <xf numFmtId="0" fontId="7" fillId="2" borderId="3" xfId="0" applyFont="1" applyFill="1" applyBorder="1" applyAlignment="1">
      <alignment horizontal="center"/>
    </xf>
    <xf numFmtId="0" fontId="7" fillId="2" borderId="9" xfId="0" applyFont="1" applyFill="1" applyBorder="1" applyAlignment="1">
      <alignment horizontal="center"/>
    </xf>
    <xf numFmtId="3" fontId="5" fillId="3" borderId="1" xfId="0" applyNumberFormat="1" applyFont="1" applyFill="1" applyBorder="1" applyAlignment="1">
      <alignment horizontal="left"/>
    </xf>
    <xf numFmtId="3" fontId="2" fillId="0" borderId="8" xfId="2" applyNumberFormat="1" applyFont="1" applyBorder="1" applyAlignment="1">
      <alignment horizontal="center"/>
    </xf>
    <xf numFmtId="3" fontId="2" fillId="0" borderId="3" xfId="2" applyNumberFormat="1" applyFont="1" applyBorder="1" applyAlignment="1">
      <alignment horizontal="center"/>
    </xf>
    <xf numFmtId="3" fontId="2" fillId="0" borderId="9" xfId="2" applyNumberFormat="1" applyFont="1" applyBorder="1" applyAlignment="1">
      <alignment horizontal="center"/>
    </xf>
    <xf numFmtId="0" fontId="5" fillId="0" borderId="0" xfId="0" applyFont="1" applyAlignment="1">
      <alignment horizontal="left"/>
    </xf>
    <xf numFmtId="3" fontId="11" fillId="0" borderId="1" xfId="0" applyNumberFormat="1" applyFont="1" applyBorder="1" applyAlignment="1">
      <alignment horizontal="center"/>
    </xf>
    <xf numFmtId="3" fontId="11" fillId="0" borderId="0" xfId="0" applyNumberFormat="1" applyFont="1" applyAlignment="1">
      <alignment horizontal="left"/>
    </xf>
    <xf numFmtId="3" fontId="8" fillId="0" borderId="0" xfId="0" applyNumberFormat="1" applyFont="1" applyAlignment="1">
      <alignment horizontal="left"/>
    </xf>
    <xf numFmtId="164" fontId="11" fillId="0" borderId="0" xfId="0" applyNumberFormat="1" applyFont="1" applyBorder="1" applyAlignment="1">
      <alignment horizontal="left"/>
    </xf>
    <xf numFmtId="3" fontId="8" fillId="0" borderId="0" xfId="0" applyNumberFormat="1" applyFont="1" applyBorder="1" applyAlignment="1">
      <alignment horizontal="left"/>
    </xf>
    <xf numFmtId="0" fontId="5" fillId="0" borderId="8" xfId="0" applyFont="1" applyBorder="1" applyAlignment="1">
      <alignment horizontal="center"/>
    </xf>
    <xf numFmtId="0" fontId="5" fillId="0" borderId="9" xfId="0" applyFont="1" applyBorder="1" applyAlignment="1">
      <alignment horizontal="center"/>
    </xf>
    <xf numFmtId="0" fontId="7" fillId="2" borderId="4" xfId="2" applyFont="1" applyFill="1" applyBorder="1" applyAlignment="1">
      <alignment horizontal="center"/>
    </xf>
    <xf numFmtId="0" fontId="7" fillId="2" borderId="4" xfId="3" applyFont="1" applyFill="1" applyBorder="1" applyAlignment="1">
      <alignment horizontal="center"/>
    </xf>
    <xf numFmtId="0" fontId="22" fillId="3" borderId="0" xfId="0" applyFont="1" applyFill="1" applyAlignment="1">
      <alignment horizontal="center"/>
    </xf>
  </cellXfs>
  <cellStyles count="4">
    <cellStyle name="Normal" xfId="0" builtinId="0"/>
    <cellStyle name="Normal 2" xfId="2"/>
    <cellStyle name="Normal 3" xfId="3"/>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6</xdr:row>
      <xdr:rowOff>171450</xdr:rowOff>
    </xdr:from>
    <xdr:to>
      <xdr:col>11</xdr:col>
      <xdr:colOff>628650</xdr:colOff>
      <xdr:row>32</xdr:row>
      <xdr:rowOff>9526</xdr:rowOff>
    </xdr:to>
    <xdr:sp macro="" textlink="">
      <xdr:nvSpPr>
        <xdr:cNvPr id="2" name="TekstSylinder 1"/>
        <xdr:cNvSpPr txBox="1"/>
      </xdr:nvSpPr>
      <xdr:spPr>
        <a:xfrm>
          <a:off x="47625" y="1362075"/>
          <a:ext cx="8963025" cy="4791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0"/>
            <a:t>a) Økonomistyring går ut på å forvalte økonomiske ressurser på</a:t>
          </a:r>
          <a:r>
            <a:rPr lang="nb-NO" sz="1200" b="0" baseline="0"/>
            <a:t> en ansvarlig måte. En måte å organisere dette på er beskrevet i den såkalte økonomistyringssløyfen.  Man setter konkrete mål for virksomheten og legger planer for å nå målene. Disse planene må underbygges av undersøkelser og beregninger for å sikre at de er realistiske. Budsjetter er planer uttrykt i penger. Når budsjettene er vedtatt, settes planene i verk. Alle økonomiske hendelser registreres i regnskapet. Jevnlige regnskapsrapporter  blir sammenliknet med budsjettet slik at avvik blir undersøkt og planene og oppfølgingen av dem blir kontinuerlig evaluert. På denne måten kan tiltak settes inn straks behovet melder seg.</a:t>
          </a:r>
        </a:p>
        <a:p>
          <a:endParaRPr lang="nb-NO" sz="1200" b="0" baseline="0"/>
        </a:p>
        <a:p>
          <a:r>
            <a:rPr lang="nb-NO" sz="1200" b="0" baseline="0"/>
            <a:t>b) Budsjetter ble i lærebokteksten omtalt som ryggraden i økonomistyringen. Styring krever mål å styre mot. Skal man nå målene, må det legges planer. Budsjetter er planer uttrykt i penger. Budsjetter gjør det mulig å vurdere den økonomiske utviklingen, lest ut fra regnskapet,  i forhold til de målene man har satt.</a:t>
          </a:r>
        </a:p>
        <a:p>
          <a:endParaRPr lang="nb-NO" sz="1200" b="0" baseline="0"/>
        </a:p>
        <a:p>
          <a:r>
            <a:rPr lang="nb-NO" sz="1200" b="0" baseline="0"/>
            <a:t>c) Budsjettet er et viktig arbeidsdokument. Det bør følges opp ved at man 1) iverksetter vedtatte planer og 2) registrerer økonomiske konsekvenser.  Ved avvik må man finne årsaker til disse. Er det for eksempel dårlige planer, eller dårlig gjennomføring?</a:t>
          </a:r>
        </a:p>
        <a:p>
          <a:r>
            <a:rPr lang="nb-NO" sz="1200" b="0" baseline="0"/>
            <a:t>Har forutsetningene budsjettet bygger på endret seg? Jo raskere man reagerer, desto flere handlingsmuligheter vil man som hovedregel ha.</a:t>
          </a:r>
        </a:p>
        <a:p>
          <a:endParaRPr lang="nb-NO" sz="1200" b="0" baseline="0"/>
        </a:p>
        <a:p>
          <a:r>
            <a:rPr lang="nb-NO" sz="1200" b="1" baseline="0"/>
            <a:t>Den tredelte bunnlinjen</a:t>
          </a:r>
        </a:p>
        <a:p>
          <a:r>
            <a:rPr lang="nb-NO" sz="1200" b="0"/>
            <a:t>Med "bunnlinjen" i regnskapsfaget</a:t>
          </a:r>
          <a:r>
            <a:rPr lang="nb-NO" sz="1200" b="0" baseline="0"/>
            <a:t> forstår vi den nederste linjen i resultatregnskapet. Linjen hvor vi finner endelig resultat. Men forventninger om ansvarlig forvaltning gjelder ikke bare for økonomiske ressurser. Samfunnsansvar innebærer at bedriften også har ansvar for de virkningene virksomheten har på samfunnet; på miljøet og på menneskene i og utenfor bedriften.  Når bedriften gjør opp status for hvordan den følger opp sitt samfunnsansvar på de tre områdene - økonomi, mennesker og miljø - snakker vi om den tredelte  bunnlinjen.</a:t>
          </a:r>
        </a:p>
        <a:p>
          <a:endParaRPr lang="nb-NO" sz="1200" b="0" baseline="0"/>
        </a:p>
        <a:p>
          <a:r>
            <a:rPr lang="nb-NO" sz="1200" b="0"/>
            <a:t>Det er sammenheng mellom målene bedriften setter</a:t>
          </a:r>
          <a:r>
            <a:rPr lang="nb-NO" sz="1200" b="0" baseline="0"/>
            <a:t> på disse tre områdene. De påvirker hverandre, men det varierer i hvilken retning. Finn stoff om dette på nettet. Samfunnsansvar er et stor emne som blir tatt opp i Økonomi og ledelse.</a:t>
          </a:r>
          <a:endParaRPr lang="nb-NO" sz="1200" b="0"/>
        </a:p>
      </xdr:txBody>
    </xdr:sp>
    <xdr:clientData/>
  </xdr:twoCellAnchor>
  <xdr:twoCellAnchor editAs="oneCell">
    <xdr:from>
      <xdr:col>0</xdr:col>
      <xdr:colOff>0</xdr:colOff>
      <xdr:row>0</xdr:row>
      <xdr:rowOff>0</xdr:rowOff>
    </xdr:from>
    <xdr:to>
      <xdr:col>4</xdr:col>
      <xdr:colOff>361949</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781049</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24199" cy="685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495300</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0"/>
          <a:ext cx="3124200" cy="600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466725</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86125" cy="6000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761999</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48074" cy="685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95250</xdr:colOff>
      <xdr:row>31</xdr:row>
      <xdr:rowOff>38100</xdr:rowOff>
    </xdr:from>
    <xdr:to>
      <xdr:col>6</xdr:col>
      <xdr:colOff>352425</xdr:colOff>
      <xdr:row>35</xdr:row>
      <xdr:rowOff>171450</xdr:rowOff>
    </xdr:to>
    <xdr:sp macro="" textlink="">
      <xdr:nvSpPr>
        <xdr:cNvPr id="2" name="TekstSylinder 1"/>
        <xdr:cNvSpPr txBox="1"/>
      </xdr:nvSpPr>
      <xdr:spPr>
        <a:xfrm>
          <a:off x="95250" y="5029200"/>
          <a:ext cx="64389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Vi summerer ikke de to nederste radene  vertikalt slik</a:t>
          </a:r>
          <a:r>
            <a:rPr lang="nb-NO" sz="1100" baseline="0"/>
            <a:t> vi gjør med alle de andre radene. </a:t>
          </a:r>
          <a:r>
            <a:rPr lang="nb-NO" sz="1100"/>
            <a:t>Legg merke til at inngående likviditetsreserve for perioden under ett, er den samme som inngående likviditetsreserve i september. Utgående likviditetsreserve for perioden er lik utgående likviditetsreserve for den siste måneden</a:t>
          </a:r>
          <a:r>
            <a:rPr lang="nb-NO" sz="1100" baseline="0"/>
            <a:t> i perioden.</a:t>
          </a:r>
          <a:endParaRPr lang="nb-NO" sz="1100"/>
        </a:p>
      </xdr:txBody>
    </xdr:sp>
    <xdr:clientData/>
  </xdr:twoCellAnchor>
  <xdr:twoCellAnchor editAs="oneCell">
    <xdr:from>
      <xdr:col>0</xdr:col>
      <xdr:colOff>0</xdr:colOff>
      <xdr:row>0</xdr:row>
      <xdr:rowOff>0</xdr:rowOff>
    </xdr:from>
    <xdr:to>
      <xdr:col>2</xdr:col>
      <xdr:colOff>219075</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48025" cy="685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85726</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3124200" cy="685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76199</xdr:colOff>
      <xdr:row>86</xdr:row>
      <xdr:rowOff>123824</xdr:rowOff>
    </xdr:from>
    <xdr:to>
      <xdr:col>5</xdr:col>
      <xdr:colOff>504824</xdr:colOff>
      <xdr:row>91</xdr:row>
      <xdr:rowOff>133350</xdr:rowOff>
    </xdr:to>
    <xdr:sp macro="" textlink="">
      <xdr:nvSpPr>
        <xdr:cNvPr id="2" name="TekstSylinder 1"/>
        <xdr:cNvSpPr txBox="1"/>
      </xdr:nvSpPr>
      <xdr:spPr>
        <a:xfrm>
          <a:off x="76199" y="17345024"/>
          <a:ext cx="5286375"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Vi ser at den budsjetterte likviditeten er svært stram i juli.</a:t>
          </a:r>
          <a:r>
            <a:rPr lang="nb-NO" sz="1100" baseline="0"/>
            <a:t> Likviditetsreserven er på det nærmeste oppbrukt, og bedriften er langt unna målet om en reserve på 10 % av omsetningen.  Dette målet er derimot oppfylt med god margin de neste to månedene.  Dersom bedriften kan forskyve noe av investeringsbetalingen til august  vil det bedre  likviditeten.</a:t>
          </a:r>
          <a:endParaRPr lang="nb-NO" sz="1100"/>
        </a:p>
        <a:p>
          <a:endParaRPr lang="nb-NO" sz="1100"/>
        </a:p>
      </xdr:txBody>
    </xdr:sp>
    <xdr:clientData/>
  </xdr:twoCellAnchor>
  <xdr:twoCellAnchor>
    <xdr:from>
      <xdr:col>0</xdr:col>
      <xdr:colOff>28575</xdr:colOff>
      <xdr:row>127</xdr:row>
      <xdr:rowOff>123825</xdr:rowOff>
    </xdr:from>
    <xdr:to>
      <xdr:col>5</xdr:col>
      <xdr:colOff>400050</xdr:colOff>
      <xdr:row>135</xdr:row>
      <xdr:rowOff>0</xdr:rowOff>
    </xdr:to>
    <xdr:sp macro="" textlink="">
      <xdr:nvSpPr>
        <xdr:cNvPr id="3" name="TekstSylinder 2"/>
        <xdr:cNvSpPr txBox="1"/>
      </xdr:nvSpPr>
      <xdr:spPr>
        <a:xfrm>
          <a:off x="28575" y="25574625"/>
          <a:ext cx="5229225"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Vi ser her at en så sterk</a:t>
          </a:r>
          <a:r>
            <a:rPr lang="nb-NO" sz="1100" baseline="0"/>
            <a:t> innstramming av kredittbetingelsene vil få dramatiske følger for </a:t>
          </a:r>
        </a:p>
        <a:p>
          <a:r>
            <a:rPr lang="nb-NO" sz="1100" baseline="0"/>
            <a:t>Datahuset AS.   Likviditetsreserven vil være helt oppbrukt tidlig i juli. Som det første budsjettet viser, bør det være mulig å opprettholde betalingsfristene og unngå en slik situasjon. For å sikre at den kan betale regningene i tide bør bedriften søke om en utvidelse av kassekreditten. Den bør også gjennomføre tiltak for å øke lønnsomheten; øke inntektene, redusere kostnadene og forbedre utnyttelsen av kapitalen. Er det mulig å øke kontantandelen av salget, redusere kreditt-tiden ytterligere og effektivisere lagerholdet?</a:t>
          </a:r>
        </a:p>
        <a:p>
          <a:r>
            <a:rPr lang="nb-NO" sz="1100" baseline="0"/>
            <a:t> </a:t>
          </a:r>
          <a:endParaRPr lang="nb-NO" sz="1100"/>
        </a:p>
      </xdr:txBody>
    </xdr:sp>
    <xdr:clientData/>
  </xdr:twoCellAnchor>
  <xdr:twoCellAnchor editAs="oneCell">
    <xdr:from>
      <xdr:col>0</xdr:col>
      <xdr:colOff>0</xdr:colOff>
      <xdr:row>0</xdr:row>
      <xdr:rowOff>0</xdr:rowOff>
    </xdr:from>
    <xdr:to>
      <xdr:col>2</xdr:col>
      <xdr:colOff>517362</xdr:colOff>
      <xdr:row>3</xdr:row>
      <xdr:rowOff>171450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89112" cy="7429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114300</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48025" cy="685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24</xdr:row>
      <xdr:rowOff>9526</xdr:rowOff>
    </xdr:from>
    <xdr:to>
      <xdr:col>6</xdr:col>
      <xdr:colOff>752475</xdr:colOff>
      <xdr:row>31</xdr:row>
      <xdr:rowOff>95251</xdr:rowOff>
    </xdr:to>
    <xdr:sp macro="" textlink="">
      <xdr:nvSpPr>
        <xdr:cNvPr id="2" name="TekstSylinder 1"/>
        <xdr:cNvSpPr txBox="1"/>
      </xdr:nvSpPr>
      <xdr:spPr>
        <a:xfrm>
          <a:off x="0" y="3810001"/>
          <a:ext cx="689610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Det budsjetteres med</a:t>
          </a:r>
          <a:r>
            <a:rPr lang="nb-NO" sz="1100" baseline="0"/>
            <a:t> en økning i salgsinntektene på hele 20 % i siste halvår 2014. Bruttofortjenesten antas å bli 18,5 %, ned fra 20 % i første halvår. Den reduserte bruttofortjenesten kan skyldes reduserte salgspriser på grunn av sterk konkurranse i markedet og/eller økte innkjøpskostnader. Varekostnaden forutsettes altså  å stige relativt sterkere enn salgsinntektene.  En bruttofortjeneste på 18,5% tilsvare en varekostnad på 81,5 % av salgsinntektene.</a:t>
          </a:r>
        </a:p>
        <a:p>
          <a:r>
            <a:rPr lang="nb-NO" sz="1100"/>
            <a:t>Driftsmarginen er svært knapp. Regnskapet</a:t>
          </a:r>
          <a:r>
            <a:rPr lang="nb-NO" sz="1100" baseline="0"/>
            <a:t> for første halvår viser et oppnådd driftsresultat på 25 000  (0,4%) av en netto omsetning på over 6 millioner.  Budsjettert driftsresultat i 2. halvår antas å øke forholdvis sterkt i forhold til resultatet i 1. halvår, men driftsmarginen er fremdeles under 1 %. Bedriften bør vektlegge tiltak for å øke driftsmarginen for å ha mer å gå på.</a:t>
          </a:r>
          <a:endParaRPr lang="nb-NO" sz="1100"/>
        </a:p>
        <a:p>
          <a:endParaRPr lang="nb-NO" sz="1100"/>
        </a:p>
        <a:p>
          <a:endParaRPr lang="nb-NO" sz="1100"/>
        </a:p>
      </xdr:txBody>
    </xdr:sp>
    <xdr:clientData/>
  </xdr:twoCellAnchor>
  <xdr:twoCellAnchor>
    <xdr:from>
      <xdr:col>0</xdr:col>
      <xdr:colOff>133350</xdr:colOff>
      <xdr:row>51</xdr:row>
      <xdr:rowOff>85726</xdr:rowOff>
    </xdr:from>
    <xdr:to>
      <xdr:col>6</xdr:col>
      <xdr:colOff>647700</xdr:colOff>
      <xdr:row>55</xdr:row>
      <xdr:rowOff>104775</xdr:rowOff>
    </xdr:to>
    <xdr:sp macro="" textlink="">
      <xdr:nvSpPr>
        <xdr:cNvPr id="3" name="TekstSylinder 2"/>
        <xdr:cNvSpPr txBox="1"/>
      </xdr:nvSpPr>
      <xdr:spPr>
        <a:xfrm>
          <a:off x="133350" y="9286876"/>
          <a:ext cx="6819900" cy="819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I resultatbudsjettet for 2. halvår ble det budsjettert med en bruttofortjeneste på 18,5 %. I</a:t>
          </a:r>
          <a:r>
            <a:rPr lang="nb-NO"/>
            <a:t> </a:t>
          </a:r>
          <a:r>
            <a:rPr lang="nb-NO" sz="1100" b="0" i="0" u="none" strike="noStrike">
              <a:solidFill>
                <a:schemeClr val="dk1"/>
              </a:solidFill>
              <a:effectLst/>
              <a:latin typeface="+mn-lt"/>
              <a:ea typeface="+mn-ea"/>
              <a:cs typeface="+mn-cs"/>
            </a:rPr>
            <a:t>likviditetsbudsjettet for juli,aug. og sep., som antas å være bedre salgsmåneder, regnes </a:t>
          </a:r>
          <a:r>
            <a:rPr lang="nb-NO"/>
            <a:t> </a:t>
          </a:r>
          <a:r>
            <a:rPr lang="nb-NO" sz="1100" b="0" i="0" u="none" strike="noStrike">
              <a:solidFill>
                <a:schemeClr val="dk1"/>
              </a:solidFill>
              <a:effectLst/>
              <a:latin typeface="+mn-lt"/>
              <a:ea typeface="+mn-ea"/>
              <a:cs typeface="+mn-cs"/>
            </a:rPr>
            <a:t>det med en bruttofortjeneste på 20 %. </a:t>
          </a:r>
          <a:r>
            <a:rPr lang="nb-NO"/>
            <a:t> </a:t>
          </a:r>
          <a:r>
            <a:rPr lang="nb-NO" sz="1100" b="0" i="0" u="none" strike="noStrike">
              <a:solidFill>
                <a:schemeClr val="dk1"/>
              </a:solidFill>
              <a:effectLst/>
              <a:latin typeface="+mn-lt"/>
              <a:ea typeface="+mn-ea"/>
              <a:cs typeface="+mn-cs"/>
            </a:rPr>
            <a:t>Vi finner budsjettert varekostnad ved å beregne 80 % av budsjetterte salgsinntekter uten mva.  Siden det ikke er forutsatt noen beholdningsendringer i perioden, er varekjøpet uten mva. lik varekostnaden.</a:t>
          </a:r>
          <a:r>
            <a:rPr lang="nb-NO"/>
            <a:t> </a:t>
          </a:r>
          <a:endParaRPr lang="nb-NO" sz="1100"/>
        </a:p>
      </xdr:txBody>
    </xdr:sp>
    <xdr:clientData/>
  </xdr:twoCellAnchor>
  <xdr:twoCellAnchor>
    <xdr:from>
      <xdr:col>0</xdr:col>
      <xdr:colOff>19051</xdr:colOff>
      <xdr:row>39</xdr:row>
      <xdr:rowOff>28576</xdr:rowOff>
    </xdr:from>
    <xdr:to>
      <xdr:col>6</xdr:col>
      <xdr:colOff>695325</xdr:colOff>
      <xdr:row>41</xdr:row>
      <xdr:rowOff>142876</xdr:rowOff>
    </xdr:to>
    <xdr:sp macro="" textlink="">
      <xdr:nvSpPr>
        <xdr:cNvPr id="4" name="TekstSylinder 3"/>
        <xdr:cNvSpPr txBox="1"/>
      </xdr:nvSpPr>
      <xdr:spPr>
        <a:xfrm>
          <a:off x="19051" y="6829426"/>
          <a:ext cx="6819899"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En kredittid på 10 dager innebærer at 2/3 av månedens salg/kjøp blir betalt i den aktuelle</a:t>
          </a:r>
          <a:r>
            <a:rPr lang="nb-NO"/>
            <a:t> </a:t>
          </a:r>
          <a:r>
            <a:rPr lang="nb-NO" sz="1100" b="0" i="0" u="none" strike="noStrike">
              <a:solidFill>
                <a:schemeClr val="dk1"/>
              </a:solidFill>
              <a:effectLst/>
              <a:latin typeface="+mn-lt"/>
              <a:ea typeface="+mn-ea"/>
              <a:cs typeface="+mn-cs"/>
            </a:rPr>
            <a:t>måneden, og 1/3 i neste måned.</a:t>
          </a:r>
          <a:r>
            <a:rPr lang="nb-NO"/>
            <a:t> </a:t>
          </a:r>
          <a:endParaRPr lang="nb-NO" sz="1100"/>
        </a:p>
      </xdr:txBody>
    </xdr:sp>
    <xdr:clientData/>
  </xdr:twoCellAnchor>
  <xdr:oneCellAnchor>
    <xdr:from>
      <xdr:col>0</xdr:col>
      <xdr:colOff>219075</xdr:colOff>
      <xdr:row>81</xdr:row>
      <xdr:rowOff>19050</xdr:rowOff>
    </xdr:from>
    <xdr:ext cx="184731" cy="264560"/>
    <xdr:sp macro="" textlink="">
      <xdr:nvSpPr>
        <xdr:cNvPr id="5" name="TekstSylinder 4"/>
        <xdr:cNvSpPr txBox="1"/>
      </xdr:nvSpPr>
      <xdr:spPr>
        <a:xfrm>
          <a:off x="219075"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0</xdr:col>
      <xdr:colOff>180974</xdr:colOff>
      <xdr:row>79</xdr:row>
      <xdr:rowOff>161925</xdr:rowOff>
    </xdr:from>
    <xdr:to>
      <xdr:col>5</xdr:col>
      <xdr:colOff>828674</xdr:colOff>
      <xdr:row>87</xdr:row>
      <xdr:rowOff>142875</xdr:rowOff>
    </xdr:to>
    <xdr:sp macro="" textlink="">
      <xdr:nvSpPr>
        <xdr:cNvPr id="6" name="TekstSylinder 5"/>
        <xdr:cNvSpPr txBox="1"/>
      </xdr:nvSpPr>
      <xdr:spPr>
        <a:xfrm>
          <a:off x="180974" y="14887575"/>
          <a:ext cx="6105525"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5. Betalingsfrister for arbeidsgiveravgift er 15.juli for 3. termin og 15. september for 4. termin.</a:t>
          </a:r>
        </a:p>
        <a:p>
          <a:r>
            <a:rPr lang="nb-NO" sz="1100"/>
            <a:t>6. Betalingsfrist for skyldig mva for 3. termin er 30. august.</a:t>
          </a:r>
        </a:p>
        <a:p>
          <a:r>
            <a:rPr lang="nb-NO" sz="1100"/>
            <a:t> 8. Oppussing</a:t>
          </a:r>
          <a:r>
            <a:rPr lang="nb-NO" sz="1100" baseline="0"/>
            <a:t> av lokaler er avgiftspliktig. Mva. er lagt til i likviditetsbudsjettet.</a:t>
          </a:r>
        </a:p>
        <a:p>
          <a:r>
            <a:rPr lang="nb-NO" sz="1100" baseline="0"/>
            <a:t>9. Reklamekostnaden tok vi også med i resultatbudsjettet. Der regnes den uten mva. I likviditetsbudsjettet skal merverdiavgiften være med.</a:t>
          </a:r>
        </a:p>
        <a:p>
          <a:endParaRPr lang="nb-NO" sz="1100" baseline="0"/>
        </a:p>
        <a:p>
          <a:r>
            <a:rPr lang="nb-NO" sz="1100" baseline="0"/>
            <a:t>Likviditetsbudsjettet viser at bedriften har tilfredsstillende likviditet gjennom hele kvartalet. Det er ingen grunn til å foreslå forbedringstiltak.</a:t>
          </a:r>
        </a:p>
        <a:p>
          <a:endParaRPr lang="nb-NO" sz="1100"/>
        </a:p>
        <a:p>
          <a:endParaRPr lang="nb-NO" sz="1100"/>
        </a:p>
        <a:p>
          <a:endParaRPr lang="nb-NO" sz="1100"/>
        </a:p>
      </xdr:txBody>
    </xdr:sp>
    <xdr:clientData/>
  </xdr:twoCellAnchor>
  <xdr:twoCellAnchor editAs="oneCell">
    <xdr:from>
      <xdr:col>0</xdr:col>
      <xdr:colOff>0</xdr:colOff>
      <xdr:row>0</xdr:row>
      <xdr:rowOff>0</xdr:rowOff>
    </xdr:from>
    <xdr:to>
      <xdr:col>2</xdr:col>
      <xdr:colOff>323850</xdr:colOff>
      <xdr:row>3</xdr:row>
      <xdr:rowOff>114300</xdr:rowOff>
    </xdr:to>
    <xdr:pic>
      <xdr:nvPicPr>
        <xdr:cNvPr id="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33725" cy="685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219075</xdr:rowOff>
    </xdr:from>
    <xdr:to>
      <xdr:col>8</xdr:col>
      <xdr:colOff>95249</xdr:colOff>
      <xdr:row>10</xdr:row>
      <xdr:rowOff>114299</xdr:rowOff>
    </xdr:to>
    <xdr:sp macro="" textlink="">
      <xdr:nvSpPr>
        <xdr:cNvPr id="2" name="TekstSylinder 1"/>
        <xdr:cNvSpPr txBox="1"/>
      </xdr:nvSpPr>
      <xdr:spPr>
        <a:xfrm>
          <a:off x="0" y="1219200"/>
          <a:ext cx="6848474" cy="895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a) Svinn  kan litt enkelt forklares med at varer forsvinner fra lageret uten å gå gjennom kassen.</a:t>
          </a:r>
        </a:p>
        <a:p>
          <a:endParaRPr lang="nb-NO" sz="1100" b="0" i="0" u="none" strike="noStrike">
            <a:solidFill>
              <a:schemeClr val="dk1"/>
            </a:solidFill>
            <a:effectLst/>
            <a:latin typeface="+mn-lt"/>
            <a:ea typeface="+mn-ea"/>
            <a:cs typeface="+mn-cs"/>
          </a:endParaRPr>
        </a:p>
        <a:p>
          <a:r>
            <a:rPr lang="nb-NO" sz="1100" b="0" i="0" u="none" strike="noStrike">
              <a:solidFill>
                <a:schemeClr val="dk1"/>
              </a:solidFill>
              <a:effectLst/>
              <a:latin typeface="+mn-lt"/>
              <a:ea typeface="+mn-ea"/>
              <a:cs typeface="+mn-cs"/>
            </a:rPr>
            <a:t>b) Årsaker</a:t>
          </a:r>
          <a:r>
            <a:rPr lang="nb-NO" sz="1100" b="0" i="0" u="none" strike="noStrike" baseline="0">
              <a:solidFill>
                <a:schemeClr val="dk1"/>
              </a:solidFill>
              <a:effectLst/>
              <a:latin typeface="+mn-lt"/>
              <a:ea typeface="+mn-ea"/>
              <a:cs typeface="+mn-cs"/>
            </a:rPr>
            <a:t> til svinn kan være at varer blir ødelagt/går ut på dato og kastes. Det kan også være tyveri og uregistrerte uttak.</a:t>
          </a:r>
          <a:endParaRPr lang="nb-NO" sz="1100"/>
        </a:p>
      </xdr:txBody>
    </xdr:sp>
    <xdr:clientData/>
  </xdr:twoCellAnchor>
  <xdr:twoCellAnchor>
    <xdr:from>
      <xdr:col>0</xdr:col>
      <xdr:colOff>95250</xdr:colOff>
      <xdr:row>30</xdr:row>
      <xdr:rowOff>161925</xdr:rowOff>
    </xdr:from>
    <xdr:to>
      <xdr:col>7</xdr:col>
      <xdr:colOff>666750</xdr:colOff>
      <xdr:row>36</xdr:row>
      <xdr:rowOff>95250</xdr:rowOff>
    </xdr:to>
    <xdr:sp macro="" textlink="">
      <xdr:nvSpPr>
        <xdr:cNvPr id="3" name="TekstSylinder 2"/>
        <xdr:cNvSpPr txBox="1"/>
      </xdr:nvSpPr>
      <xdr:spPr>
        <a:xfrm>
          <a:off x="95250" y="4953000"/>
          <a:ext cx="656272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d) Hvis det hadde forsvunnet varer for kr 30 000, ville opptelling</a:t>
          </a:r>
          <a:r>
            <a:rPr lang="nb-NO" sz="1100" b="0" i="0" u="none" strike="noStrike" baseline="0">
              <a:solidFill>
                <a:schemeClr val="dk1"/>
              </a:solidFill>
              <a:effectLst/>
              <a:latin typeface="+mn-lt"/>
              <a:ea typeface="+mn-ea"/>
              <a:cs typeface="+mn-cs"/>
            </a:rPr>
            <a:t> gitt en</a:t>
          </a:r>
          <a:r>
            <a:rPr lang="nb-NO" sz="1100" b="0" i="0" u="none" strike="noStrike">
              <a:solidFill>
                <a:schemeClr val="dk1"/>
              </a:solidFill>
              <a:effectLst/>
              <a:latin typeface="+mn-lt"/>
              <a:ea typeface="+mn-ea"/>
              <a:cs typeface="+mn-cs"/>
            </a:rPr>
            <a:t> utgående beholdning på</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kr 50 000.</a:t>
          </a:r>
        </a:p>
        <a:p>
          <a:r>
            <a:rPr lang="nb-NO" sz="1100" b="0" i="0" u="none" strike="noStrike">
              <a:solidFill>
                <a:schemeClr val="dk1"/>
              </a:solidFill>
              <a:effectLst/>
              <a:latin typeface="+mn-lt"/>
              <a:ea typeface="+mn-ea"/>
              <a:cs typeface="+mn-cs"/>
            </a:rPr>
            <a:t>     Beholdningsnedgangen ville da blitt</a:t>
          </a:r>
          <a:r>
            <a:rPr lang="nb-NO" sz="1100" b="0" i="0" u="none" strike="noStrike" baseline="0">
              <a:solidFill>
                <a:schemeClr val="dk1"/>
              </a:solidFill>
              <a:effectLst/>
              <a:latin typeface="+mn-lt"/>
              <a:ea typeface="+mn-ea"/>
              <a:cs typeface="+mn-cs"/>
            </a:rPr>
            <a:t> 100 000 - 50 000 = 50 000, og varekostnaden </a:t>
          </a:r>
          <a:r>
            <a:rPr lang="nb-NO" sz="1100" b="0" i="0" u="none" strike="noStrike">
              <a:solidFill>
                <a:schemeClr val="dk1"/>
              </a:solidFill>
              <a:effectLst/>
              <a:latin typeface="+mn-lt"/>
              <a:ea typeface="+mn-ea"/>
              <a:cs typeface="+mn-cs"/>
            </a:rPr>
            <a:t> </a:t>
          </a:r>
          <a:r>
            <a:rPr lang="nb-NO"/>
            <a:t>650 000.</a:t>
          </a:r>
        </a:p>
        <a:p>
          <a:endParaRPr lang="nb-NO"/>
        </a:p>
        <a:p>
          <a:r>
            <a:rPr lang="nb-NO"/>
            <a:t>e)  Svinn fører til økt varekostnad via virkninger på beholdningsendringen. I talleksemplet ser vi at </a:t>
          </a:r>
          <a:br>
            <a:rPr lang="nb-NO"/>
          </a:br>
          <a:r>
            <a:rPr lang="nb-NO"/>
            <a:t>     varekostnaden øker</a:t>
          </a:r>
          <a:r>
            <a:rPr lang="nb-NO" baseline="0"/>
            <a:t> med størrelsen av svinnet.</a:t>
          </a:r>
          <a:endParaRPr lang="nb-NO"/>
        </a:p>
        <a:p>
          <a:endParaRPr lang="nb-NO" sz="1100"/>
        </a:p>
        <a:p>
          <a:endParaRPr lang="nb-NO" sz="1100"/>
        </a:p>
      </xdr:txBody>
    </xdr:sp>
    <xdr:clientData/>
  </xdr:twoCellAnchor>
  <xdr:twoCellAnchor editAs="oneCell">
    <xdr:from>
      <xdr:col>0</xdr:col>
      <xdr:colOff>0</xdr:colOff>
      <xdr:row>0</xdr:row>
      <xdr:rowOff>0</xdr:rowOff>
    </xdr:from>
    <xdr:to>
      <xdr:col>3</xdr:col>
      <xdr:colOff>371475</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1470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5</xdr:row>
      <xdr:rowOff>104774</xdr:rowOff>
    </xdr:from>
    <xdr:to>
      <xdr:col>8</xdr:col>
      <xdr:colOff>628650</xdr:colOff>
      <xdr:row>24</xdr:row>
      <xdr:rowOff>114299</xdr:rowOff>
    </xdr:to>
    <xdr:sp macro="" textlink="">
      <xdr:nvSpPr>
        <xdr:cNvPr id="2" name="TekstSylinder 1"/>
        <xdr:cNvSpPr txBox="1"/>
      </xdr:nvSpPr>
      <xdr:spPr>
        <a:xfrm>
          <a:off x="76200" y="295274"/>
          <a:ext cx="6648450" cy="362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0"/>
            <a:t>a</a:t>
          </a:r>
          <a:r>
            <a:rPr lang="nb-NO" sz="1200" b="1"/>
            <a:t>) Inntekter </a:t>
          </a:r>
          <a:r>
            <a:rPr lang="nb-NO" sz="1200" b="0"/>
            <a:t>oppstår når en vare er levert og når en tjeneste er ferdig utført. Inntekter regnes alltid uten mva.</a:t>
          </a:r>
        </a:p>
        <a:p>
          <a:r>
            <a:rPr lang="nb-NO" sz="1200" b="1"/>
            <a:t>Innbetalinger</a:t>
          </a:r>
          <a:r>
            <a:rPr lang="nb-NO" sz="1200" b="0"/>
            <a:t> finner</a:t>
          </a:r>
          <a:r>
            <a:rPr lang="nb-NO" sz="1200" b="0" baseline="0"/>
            <a:t> sted </a:t>
          </a:r>
          <a:r>
            <a:rPr lang="nb-NO" sz="1200" b="0"/>
            <a:t>når penger overføres</a:t>
          </a:r>
          <a:r>
            <a:rPr lang="nb-NO" sz="1200" b="0" baseline="0"/>
            <a:t> til en bankkonto eller betales med kontanter. </a:t>
          </a:r>
        </a:p>
        <a:p>
          <a:endParaRPr lang="nb-NO" sz="1200" b="0" baseline="0"/>
        </a:p>
        <a:p>
          <a:r>
            <a:rPr lang="nb-NO" sz="1200" b="0" baseline="0"/>
            <a:t>b) En </a:t>
          </a:r>
          <a:r>
            <a:rPr lang="nb-NO" sz="1200" b="1" baseline="0"/>
            <a:t>utgift </a:t>
          </a:r>
          <a:r>
            <a:rPr lang="nb-NO" sz="1200" b="0" baseline="0"/>
            <a:t>oppstår når vi kjøper/anskaffer en vare eller tjeneste og av den grunn påtar oss en betalingsforpliktelse.</a:t>
          </a:r>
        </a:p>
        <a:p>
          <a:endParaRPr lang="nb-NO" sz="1200" b="0" baseline="0"/>
        </a:p>
        <a:p>
          <a:r>
            <a:rPr lang="nb-NO" sz="1200" b="0" baseline="0"/>
            <a:t>En </a:t>
          </a:r>
          <a:r>
            <a:rPr lang="nb-NO" sz="1200" b="1" baseline="0"/>
            <a:t>kostnad</a:t>
          </a:r>
          <a:r>
            <a:rPr lang="nb-NO" sz="1200" b="0" baseline="0"/>
            <a:t> er forbruk av ressurser (varer og tjenester).</a:t>
          </a:r>
        </a:p>
        <a:p>
          <a:endParaRPr lang="nb-NO" sz="1200" b="0" baseline="0"/>
        </a:p>
        <a:p>
          <a:r>
            <a:rPr lang="nb-NO" sz="1200" b="0" baseline="0"/>
            <a:t>En </a:t>
          </a:r>
          <a:r>
            <a:rPr lang="nb-NO" sz="1200" b="1" baseline="0"/>
            <a:t>utbetaling</a:t>
          </a:r>
          <a:r>
            <a:rPr lang="nb-NO" sz="1200" b="0" baseline="0"/>
            <a:t> skjer når det går penger ut av en betalingskonto (bank eller kasse).</a:t>
          </a:r>
        </a:p>
        <a:p>
          <a:endParaRPr lang="nb-NO" sz="1200" b="0" baseline="0"/>
        </a:p>
        <a:p>
          <a:r>
            <a:rPr lang="nb-NO" sz="1200" b="0" baseline="0"/>
            <a:t>c) Et </a:t>
          </a:r>
          <a:r>
            <a:rPr lang="nb-NO" sz="1200" b="1" baseline="0"/>
            <a:t>resultatbudsjett</a:t>
          </a:r>
          <a:r>
            <a:rPr lang="nb-NO" sz="1200" b="0" baseline="0"/>
            <a:t> viser budsjettert resultat for en periode. Resultat er inntekter - kostnader. Siden vi har flere typer resultat (driftsresultat, resultat før og etter skattekostnad), varierer det hvilke kostnader og inntekter som tas med.</a:t>
          </a:r>
        </a:p>
        <a:p>
          <a:endParaRPr lang="nb-NO" sz="1200" b="0" baseline="0"/>
        </a:p>
        <a:p>
          <a:r>
            <a:rPr lang="nb-NO" sz="1200" b="0"/>
            <a:t>Et </a:t>
          </a:r>
          <a:r>
            <a:rPr lang="nb-NO" sz="1200" b="1"/>
            <a:t>likviditetsbudsjett</a:t>
          </a:r>
          <a:r>
            <a:rPr lang="nb-NO" sz="1200" b="0" baseline="0"/>
            <a:t> viser budsjetterte innbetalinger og utbetalinger samt utviklingen i likviditetsreserven i perioden.</a:t>
          </a:r>
          <a:endParaRPr lang="nb-NO" sz="1200" b="0"/>
        </a:p>
      </xdr:txBody>
    </xdr:sp>
    <xdr:clientData/>
  </xdr:twoCellAnchor>
  <xdr:twoCellAnchor editAs="oneCell">
    <xdr:from>
      <xdr:col>0</xdr:col>
      <xdr:colOff>0</xdr:colOff>
      <xdr:row>0</xdr:row>
      <xdr:rowOff>0</xdr:rowOff>
    </xdr:from>
    <xdr:to>
      <xdr:col>4</xdr:col>
      <xdr:colOff>361949</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22</xdr:row>
      <xdr:rowOff>66676</xdr:rowOff>
    </xdr:from>
    <xdr:to>
      <xdr:col>6</xdr:col>
      <xdr:colOff>790574</xdr:colOff>
      <xdr:row>38</xdr:row>
      <xdr:rowOff>47626</xdr:rowOff>
    </xdr:to>
    <xdr:sp macro="" textlink="">
      <xdr:nvSpPr>
        <xdr:cNvPr id="2" name="TekstSylinder 1"/>
        <xdr:cNvSpPr txBox="1"/>
      </xdr:nvSpPr>
      <xdr:spPr>
        <a:xfrm>
          <a:off x="0" y="3514726"/>
          <a:ext cx="6591299"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Salgsinntekten er 10 %</a:t>
          </a:r>
          <a:r>
            <a:rPr lang="nb-NO" sz="1100" baseline="0">
              <a:solidFill>
                <a:schemeClr val="dk1"/>
              </a:solidFill>
              <a:effectLst/>
              <a:latin typeface="+mn-lt"/>
              <a:ea typeface="+mn-ea"/>
              <a:cs typeface="+mn-cs"/>
            </a:rPr>
            <a:t> større enn budsjettert. </a:t>
          </a:r>
          <a:r>
            <a:rPr lang="nb-NO" sz="1100">
              <a:solidFill>
                <a:schemeClr val="dk1"/>
              </a:solidFill>
              <a:effectLst/>
              <a:latin typeface="+mn-lt"/>
              <a:ea typeface="+mn-ea"/>
              <a:cs typeface="+mn-cs"/>
            </a:rPr>
            <a:t> Det kan skyldes både økt pris og økt mengde</a:t>
          </a:r>
          <a:r>
            <a:rPr lang="nb-NO" sz="1100" baseline="0">
              <a:solidFill>
                <a:schemeClr val="dk1"/>
              </a:solidFill>
              <a:effectLst/>
              <a:latin typeface="+mn-lt"/>
              <a:ea typeface="+mn-ea"/>
              <a:cs typeface="+mn-cs"/>
            </a:rPr>
            <a:t>. Enkelte produkter kan ha blitt mer populære enn man hadde tenkt seg. </a:t>
          </a:r>
          <a:r>
            <a:rPr lang="nb-NO" sz="1100">
              <a:solidFill>
                <a:schemeClr val="dk1"/>
              </a:solidFill>
              <a:effectLst/>
              <a:latin typeface="+mn-lt"/>
              <a:ea typeface="+mn-ea"/>
              <a:cs typeface="+mn-cs"/>
            </a:rPr>
            <a:t>Siden varekostnaden bare har</a:t>
          </a:r>
          <a:r>
            <a:rPr lang="nb-NO" sz="1100" baseline="0">
              <a:solidFill>
                <a:schemeClr val="dk1"/>
              </a:solidFill>
              <a:effectLst/>
              <a:latin typeface="+mn-lt"/>
              <a:ea typeface="+mn-ea"/>
              <a:cs typeface="+mn-cs"/>
            </a:rPr>
            <a:t> økt med </a:t>
          </a:r>
          <a:r>
            <a:rPr lang="nb-NO" sz="1100">
              <a:solidFill>
                <a:schemeClr val="dk1"/>
              </a:solidFill>
              <a:effectLst/>
              <a:latin typeface="+mn-lt"/>
              <a:ea typeface="+mn-ea"/>
              <a:cs typeface="+mn-cs"/>
            </a:rPr>
            <a:t> 4 %,</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 antar jeg at hovedårsaken</a:t>
          </a:r>
          <a:r>
            <a:rPr lang="nb-NO" sz="1100" baseline="0">
              <a:solidFill>
                <a:schemeClr val="dk1"/>
              </a:solidFill>
              <a:effectLst/>
              <a:latin typeface="+mn-lt"/>
              <a:ea typeface="+mn-ea"/>
              <a:cs typeface="+mn-cs"/>
            </a:rPr>
            <a:t> er bedre priser. Vi ser også at bruttofortjenesten utgjør 34 %, mot budsjettert 30 %.  Dette er en gunstig utvikling. </a:t>
          </a:r>
          <a:endParaRPr lang="nb-NO">
            <a:effectLst/>
          </a:endParaRPr>
        </a:p>
        <a:p>
          <a:r>
            <a:rPr lang="nb-NO" sz="1100" baseline="0">
              <a:solidFill>
                <a:schemeClr val="dk1"/>
              </a:solidFill>
              <a:effectLst/>
              <a:latin typeface="+mn-lt"/>
              <a:ea typeface="+mn-ea"/>
              <a:cs typeface="+mn-cs"/>
            </a:rPr>
            <a:t>Lønnskostnaden er betydelig høyere enn budsjettert. Det kan skyldes korttidssykdom blant de ansatte  (arbeidsgiver dekker sykelønn de første  16 dagene) eller annet fravær med lønn, bruk av vikarer, overtid på grunn av økt aktivitet eller høyere lønnsøkning under tariffoppgjør enn antatt da budsjettet ble satt opp.</a:t>
          </a:r>
        </a:p>
        <a:p>
          <a:endParaRPr lang="nb-NO">
            <a:effectLst/>
          </a:endParaRPr>
        </a:p>
        <a:p>
          <a:r>
            <a:rPr lang="nb-NO" sz="1100" baseline="0">
              <a:solidFill>
                <a:schemeClr val="dk1"/>
              </a:solidFill>
              <a:effectLst/>
              <a:latin typeface="+mn-lt"/>
              <a:ea typeface="+mn-ea"/>
              <a:cs typeface="+mn-cs"/>
            </a:rPr>
            <a:t>Husleien har økt med 4400. Andre driftskostnader har gått ned med 9 %.  Kan skyldes  redusert forbruk  på grunn av energisparing,  redusert kopiering eller andre spare/effektiviseringstiltak.  Bedriften kan ha oppnådd lavere innkjøpspriser  på varer og indirekte driftskostnader på  grunn av økt konkurranse, skifte av leverandører eller reforhandling av  innkjøpsavtaler.</a:t>
          </a:r>
          <a:endParaRPr lang="nb-NO">
            <a:effectLst/>
          </a:endParaRPr>
        </a:p>
        <a:p>
          <a:r>
            <a:rPr lang="nb-NO" sz="1100" baseline="0">
              <a:solidFill>
                <a:schemeClr val="dk1"/>
              </a:solidFill>
              <a:effectLst/>
              <a:latin typeface="+mn-lt"/>
              <a:ea typeface="+mn-ea"/>
              <a:cs typeface="+mn-cs"/>
            </a:rPr>
            <a:t>Økte avskrivninger kan skyldes at bedriften har foretatt investeringer som den ikke regnet med da budsjettet ble satt opp.</a:t>
          </a:r>
          <a:endParaRPr lang="nb-NO">
            <a:effectLst/>
          </a:endParaRPr>
        </a:p>
        <a:p>
          <a:r>
            <a:rPr lang="nb-NO" sz="1100" baseline="0">
              <a:solidFill>
                <a:schemeClr val="dk1"/>
              </a:solidFill>
              <a:effectLst/>
              <a:latin typeface="+mn-lt"/>
              <a:ea typeface="+mn-ea"/>
              <a:cs typeface="+mn-cs"/>
            </a:rPr>
            <a:t>Reduserte rentekostnader kan skyldes at rentenivået generelt er redusert eller at økt inntjening har redusert behovet for lån. For eksempel kan en eventuell kassekredittkonto ha blitt mindre belastet enn normalt.</a:t>
          </a:r>
          <a:endParaRPr lang="nb-NO">
            <a:effectLst/>
          </a:endParaRPr>
        </a:p>
        <a:p>
          <a:endParaRPr lang="nb-NO" sz="1100"/>
        </a:p>
      </xdr:txBody>
    </xdr:sp>
    <xdr:clientData/>
  </xdr:twoCellAnchor>
  <xdr:twoCellAnchor editAs="oneCell">
    <xdr:from>
      <xdr:col>0</xdr:col>
      <xdr:colOff>0</xdr:colOff>
      <xdr:row>0</xdr:row>
      <xdr:rowOff>0</xdr:rowOff>
    </xdr:from>
    <xdr:to>
      <xdr:col>2</xdr:col>
      <xdr:colOff>847724</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7549" cy="6858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30</xdr:row>
      <xdr:rowOff>66675</xdr:rowOff>
    </xdr:from>
    <xdr:to>
      <xdr:col>7</xdr:col>
      <xdr:colOff>285750</xdr:colOff>
      <xdr:row>53</xdr:row>
      <xdr:rowOff>19050</xdr:rowOff>
    </xdr:to>
    <xdr:sp macro="" textlink="">
      <xdr:nvSpPr>
        <xdr:cNvPr id="2" name="TekstSylinder 1"/>
        <xdr:cNvSpPr txBox="1"/>
      </xdr:nvSpPr>
      <xdr:spPr>
        <a:xfrm>
          <a:off x="0" y="5038725"/>
          <a:ext cx="7239000" cy="433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 Kommentarer:</a:t>
          </a:r>
        </a:p>
        <a:p>
          <a:r>
            <a:rPr lang="nb-NO" sz="1100"/>
            <a:t>Resultatet er blitt 5,5 ganger så stort som budsjettert. Den</a:t>
          </a:r>
          <a:r>
            <a:rPr lang="nb-NO" sz="1100" baseline="0"/>
            <a:t> økonomiske utviklingen det siste året har vært bedre enn forventet.</a:t>
          </a:r>
          <a:r>
            <a:rPr lang="nb-NO" sz="1100" b="0"/>
            <a:t>De</a:t>
          </a:r>
          <a:r>
            <a:rPr lang="nb-NO" sz="1100" b="0" baseline="0"/>
            <a:t> viktigste årsakene er økt omsetning og reduserte lønnskostnader.</a:t>
          </a:r>
        </a:p>
        <a:p>
          <a:endParaRPr lang="nb-NO" sz="1100" b="0" baseline="0"/>
        </a:p>
        <a:p>
          <a:r>
            <a:rPr lang="nb-NO" sz="1100" baseline="0"/>
            <a:t>Salgsinntektene er 6,2 % større enn budsjettert. Siden varekostnaden har økt prosentvis sterkere (8,6%), er oppnådd bruttofortjenesteprosent blitt lavere enn budsjettert. I kroner har bruttofortjenesten økt og bidratt til en resultatforbedring i forhold til budsjettet på kr 60 000. Dersom varekostnaden hadde økt i takt med salgsinntektene, ville bruttofortjenesteprosenten fortsatt vært 40 % , og bruttofortjensten ville vært kr 88 000 høyere </a:t>
          </a:r>
          <a:br>
            <a:rPr lang="nb-NO" sz="1100" baseline="0"/>
          </a:br>
          <a:r>
            <a:rPr lang="nb-NO" sz="1100" baseline="0"/>
            <a:t>(6 370 000 * 0,4 = 2 548 000).</a:t>
          </a:r>
        </a:p>
        <a:p>
          <a:r>
            <a:rPr lang="nb-NO" sz="1100" baseline="0"/>
            <a:t> </a:t>
          </a:r>
        </a:p>
        <a:p>
          <a:r>
            <a:rPr lang="nb-NO" sz="1100" baseline="0"/>
            <a:t>Lønn og sosiale kostnader er redusert med kr 70 000.  Det kan skyldes redusert fravær og dermed mindre bruk av vikarer, bedre organisering av arbeidet og mindre overtid eller at lønnsoppgjøret har medført lavere lønnsvekst enn beregnet.</a:t>
          </a:r>
        </a:p>
        <a:p>
          <a:endParaRPr lang="nb-NO" sz="1100" baseline="0"/>
        </a:p>
        <a:p>
          <a:r>
            <a:rPr lang="nb-NO" sz="1100" baseline="0"/>
            <a:t>Lys og oppvarming er redusert med hele 31,4 % Flere av de andre driftskostnadene viser positive avvik på rundt 10 %, men de utgjør så liten andel av samlet budsjett at utslaget ikke blir særlig stort.  Den driftskostnaden som har det relativt største negative avviket (136 %) er leiekostnader som er mer enn fordoblet ,og har et negativt avvik på  kr 20 400.  Når det ikke er oppgitt hva bedriften leier, er det ikke lett å ha noen formening om hva dette skyldes. </a:t>
          </a:r>
        </a:p>
        <a:p>
          <a:endParaRPr lang="nb-NO" sz="1100" baseline="0"/>
        </a:p>
        <a:p>
          <a:r>
            <a:rPr lang="nb-NO" sz="1100" baseline="0"/>
            <a:t>De mange positive kostnadsavvikene kan skyldes effektivisering og økt kostnadsbevissthet. </a:t>
          </a:r>
        </a:p>
        <a:p>
          <a:endParaRPr lang="nb-NO" sz="1100" baseline="0"/>
        </a:p>
        <a:p>
          <a:r>
            <a:rPr lang="nb-NO" sz="1100" baseline="0"/>
            <a:t>Det negative avviket på rentekostnadene kan skyldes økt lån eller renteøkning på eksisterende lån.</a:t>
          </a:r>
        </a:p>
        <a:p>
          <a:endParaRPr lang="nb-NO" sz="1100" baseline="0"/>
        </a:p>
        <a:p>
          <a:r>
            <a:rPr lang="nb-NO" sz="1100" baseline="0"/>
            <a:t>b) Bedriften bør vektlegge utviklingen i bruttofortjenesten. Hvorfor gikk prosentsatsen ned? Hvilke tiltak kan iverksettes for å holde bruttofortjenesten på 40 % i tiden som kommer?  </a:t>
          </a:r>
        </a:p>
        <a:p>
          <a:endParaRPr lang="nb-NO" sz="1100"/>
        </a:p>
      </xdr:txBody>
    </xdr:sp>
    <xdr:clientData/>
  </xdr:twoCellAnchor>
  <xdr:twoCellAnchor editAs="oneCell">
    <xdr:from>
      <xdr:col>0</xdr:col>
      <xdr:colOff>0</xdr:colOff>
      <xdr:row>0</xdr:row>
      <xdr:rowOff>0</xdr:rowOff>
    </xdr:from>
    <xdr:to>
      <xdr:col>2</xdr:col>
      <xdr:colOff>847724</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62349" cy="685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32</xdr:row>
      <xdr:rowOff>142875</xdr:rowOff>
    </xdr:from>
    <xdr:to>
      <xdr:col>7</xdr:col>
      <xdr:colOff>228600</xdr:colOff>
      <xdr:row>57</xdr:row>
      <xdr:rowOff>152401</xdr:rowOff>
    </xdr:to>
    <xdr:sp macro="" textlink="">
      <xdr:nvSpPr>
        <xdr:cNvPr id="2" name="TekstSylinder 1"/>
        <xdr:cNvSpPr txBox="1"/>
      </xdr:nvSpPr>
      <xdr:spPr>
        <a:xfrm>
          <a:off x="0" y="5581650"/>
          <a:ext cx="6877050" cy="477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Resultatet før skatt er under halvparten av det som ble budsjettert.  Realisert bruttofortjeneste er 2 prosentpoeng lavere enn budsjettert.</a:t>
          </a:r>
          <a:r>
            <a:rPr lang="nb-NO" sz="1100" baseline="0"/>
            <a:t> Salgsinntektene er 0,7 % lavere enn budsjettert. Varekostnaden har ikke sunket i takt med salget, slik det er vanlig, men tvert i mot steget med 2,9 % i forhold til budsjettet. Dette skyldes sannsynligvis økte innkjøpspriser. Inntektsavvik på - kr 312 000 og avvik i varekostnaden på - kr 674 000 forklarer kr 986 000 av resultatavviket.</a:t>
          </a:r>
        </a:p>
        <a:p>
          <a:endParaRPr lang="nb-NO" sz="1100" baseline="0"/>
        </a:p>
        <a:p>
          <a:r>
            <a:rPr lang="nb-NO" sz="1100" baseline="0"/>
            <a:t>Inntektsavviket skyldes at bedriftens budsjettforutsetninger om hvor mye den skal klare å selge av hvilke produkter til hvilke priser, ikke er innfridd.  Bedriften kan ha solgt mindre enn antatt og/eller oppnådd lavere priser. Avviket i varekostnad har også en pris- og mengdekomponent.  Innkjøpsprisene har steget og det kan ha forekommet svinn.</a:t>
          </a:r>
        </a:p>
        <a:p>
          <a:endParaRPr lang="nb-NO" sz="1100" baseline="0"/>
        </a:p>
        <a:p>
          <a:r>
            <a:rPr lang="nb-NO" sz="1100" baseline="0"/>
            <a:t>De indirekte driftskostnadene avviker fra budsjettet med kr 628 000. Størsteparten, kr 476 000, er avvik i lønnskostnader. Det kan skyldes stort fravær med vikarutgifter, lite effektiv organisering av arbeidet med mye bruk av overtid eller at lønnsoppgjøret ble dyrere enn forutsatt. </a:t>
          </a:r>
        </a:p>
        <a:p>
          <a:endParaRPr lang="nb-NO" sz="1100" baseline="0"/>
        </a:p>
        <a:p>
          <a:r>
            <a:rPr lang="nb-NO" sz="1100" baseline="0"/>
            <a:t>Andre driftskostnader er blitt kr 107 000 (4,3 %) høyere enn antatt og husleien har et negativt avvik på kr 100 000 </a:t>
          </a:r>
          <a:br>
            <a:rPr lang="nb-NO" sz="1100" baseline="0"/>
          </a:br>
          <a:r>
            <a:rPr lang="nb-NO" sz="1100" baseline="0"/>
            <a:t>(- 9,1 %).</a:t>
          </a:r>
        </a:p>
        <a:p>
          <a:endParaRPr lang="nb-NO" sz="1100" baseline="0"/>
        </a:p>
        <a:p>
          <a:r>
            <a:rPr lang="nb-NO" sz="1100" baseline="0"/>
            <a:t>Til salg og reklame er det brukt kr 100 000 mindre enn budsjettert. Ikke nødvendigvis positivt dersom planlagte salgsaktiviteter ikke er gjennomført, og dette har  vært medvirkende årsak til inntektssvikten.</a:t>
          </a:r>
        </a:p>
        <a:p>
          <a:endParaRPr lang="nb-NO" sz="1100" baseline="0"/>
        </a:p>
        <a:p>
          <a:r>
            <a:rPr lang="nb-NO" sz="1100" baseline="0"/>
            <a:t>Bedriftens hovedutfordring er å få bedre kontroll med kostnadsveksten, både varekostnaden og de indirekte kostnadene. </a:t>
          </a:r>
        </a:p>
        <a:p>
          <a:endParaRPr lang="nb-NO" sz="1100" baseline="0"/>
        </a:p>
        <a:p>
          <a:r>
            <a:rPr lang="nb-NO" sz="1100" baseline="0"/>
            <a:t>Vi analyserte regnskapet for Zapo AS i kapittel 7.  Der fant vi at bruttofortjenesten i 2010 var 43,5 %.  Når bedriften setter et mål om å øke bruttofortjenesten til 45,2 % neste år, må dette underbygges med konkrete planer. Er dette gjort, og har planene blitt fulgt opp?  En årsak til budsjettavvik kan også være svak budsjettering og manglende oppfølging.</a:t>
          </a:r>
        </a:p>
        <a:p>
          <a:endParaRPr lang="nb-NO" sz="1100" baseline="0"/>
        </a:p>
        <a:p>
          <a:endParaRPr lang="nb-NO" sz="1100" baseline="0"/>
        </a:p>
        <a:p>
          <a:endParaRPr lang="nb-NO" sz="1100" baseline="0"/>
        </a:p>
        <a:p>
          <a:endParaRPr lang="nb-NO" sz="1100" baseline="0"/>
        </a:p>
        <a:p>
          <a:endParaRPr lang="nb-NO" sz="1100"/>
        </a:p>
      </xdr:txBody>
    </xdr:sp>
    <xdr:clientData/>
  </xdr:twoCellAnchor>
  <xdr:twoCellAnchor editAs="oneCell">
    <xdr:from>
      <xdr:col>0</xdr:col>
      <xdr:colOff>0</xdr:colOff>
      <xdr:row>0</xdr:row>
      <xdr:rowOff>0</xdr:rowOff>
    </xdr:from>
    <xdr:to>
      <xdr:col>2</xdr:col>
      <xdr:colOff>819149</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81374"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1009649</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81374"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752475</xdr:colOff>
      <xdr:row>14</xdr:row>
      <xdr:rowOff>57150</xdr:rowOff>
    </xdr:from>
    <xdr:to>
      <xdr:col>8</xdr:col>
      <xdr:colOff>28575</xdr:colOff>
      <xdr:row>23</xdr:row>
      <xdr:rowOff>19051</xdr:rowOff>
    </xdr:to>
    <xdr:sp macro="" textlink="">
      <xdr:nvSpPr>
        <xdr:cNvPr id="2" name="TekstSylinder 1"/>
        <xdr:cNvSpPr txBox="1"/>
      </xdr:nvSpPr>
      <xdr:spPr>
        <a:xfrm>
          <a:off x="3019425" y="1771650"/>
          <a:ext cx="4533900" cy="1685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Kritisk verdi av en variabel er den verdien som gir et resultat på 0, altså den laveste verdien variabelen kan ha for at alle kostnadene skal bli dekket.</a:t>
          </a:r>
        </a:p>
        <a:p>
          <a:r>
            <a:rPr lang="nb-NO" sz="1100"/>
            <a:t>Den laveste mengden</a:t>
          </a:r>
          <a:r>
            <a:rPr lang="nb-NO" sz="1100" baseline="0"/>
            <a:t> Ågot Vik kan selge for å få dekket kostnadene er 334 enheter (avrundet oppover).</a:t>
          </a:r>
        </a:p>
        <a:p>
          <a:endParaRPr lang="nb-NO" sz="1100" baseline="0"/>
        </a:p>
        <a:p>
          <a:r>
            <a:rPr lang="nb-NO" sz="1100" baseline="0"/>
            <a:t>Kontroll: (240 - 150)* 334 - 30 000 = 60 </a:t>
          </a:r>
        </a:p>
        <a:p>
          <a:r>
            <a:rPr lang="nb-NO" sz="1100" baseline="0"/>
            <a:t>(333 enheter gir et resultat på - 30)</a:t>
          </a:r>
          <a:endParaRPr lang="nb-NO" sz="1100"/>
        </a:p>
      </xdr:txBody>
    </xdr:sp>
    <xdr:clientData/>
  </xdr:twoCellAnchor>
  <xdr:twoCellAnchor editAs="oneCell">
    <xdr:from>
      <xdr:col>0</xdr:col>
      <xdr:colOff>0</xdr:colOff>
      <xdr:row>0</xdr:row>
      <xdr:rowOff>0</xdr:rowOff>
    </xdr:from>
    <xdr:to>
      <xdr:col>2</xdr:col>
      <xdr:colOff>761999</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28949"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9526</xdr:colOff>
      <xdr:row>15</xdr:row>
      <xdr:rowOff>104774</xdr:rowOff>
    </xdr:from>
    <xdr:to>
      <xdr:col>9</xdr:col>
      <xdr:colOff>47626</xdr:colOff>
      <xdr:row>23</xdr:row>
      <xdr:rowOff>47625</xdr:rowOff>
    </xdr:to>
    <xdr:sp macro="" textlink="">
      <xdr:nvSpPr>
        <xdr:cNvPr id="2" name="TekstSylinder 1"/>
        <xdr:cNvSpPr txBox="1"/>
      </xdr:nvSpPr>
      <xdr:spPr>
        <a:xfrm>
          <a:off x="2905126" y="2200274"/>
          <a:ext cx="4610100" cy="1485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 Arnes planer ser fornuftige</a:t>
          </a:r>
          <a:r>
            <a:rPr lang="nb-NO" sz="1100" baseline="0"/>
            <a:t> ut. Han skaper sin egen arbeidsplass. Hvis han klarer å selge så mye som han beregner, sitter han igjen med en brutto årslønn på 360 000. Hvis han ikke får solgt så mye som han håper, kan han sikkert skaffe seg ekstrajobber. Snekkertjenester er det alltid behov for. I tillegg tjener han penger på prosjektet straks salget overstiger 74 lekestuer.   Og han skaffer seg verdifull erfaring både i snekring og det å drive egen bedrift.</a:t>
          </a:r>
          <a:endParaRPr lang="nb-NO" sz="1100"/>
        </a:p>
      </xdr:txBody>
    </xdr:sp>
    <xdr:clientData/>
  </xdr:twoCellAnchor>
  <xdr:twoCellAnchor editAs="oneCell">
    <xdr:from>
      <xdr:col>0</xdr:col>
      <xdr:colOff>0</xdr:colOff>
      <xdr:row>0</xdr:row>
      <xdr:rowOff>0</xdr:rowOff>
    </xdr:from>
    <xdr:to>
      <xdr:col>3</xdr:col>
      <xdr:colOff>323850</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19450" cy="685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209550</xdr:colOff>
      <xdr:row>26</xdr:row>
      <xdr:rowOff>28576</xdr:rowOff>
    </xdr:from>
    <xdr:to>
      <xdr:col>5</xdr:col>
      <xdr:colOff>781050</xdr:colOff>
      <xdr:row>36</xdr:row>
      <xdr:rowOff>47626</xdr:rowOff>
    </xdr:to>
    <xdr:sp macro="" textlink="">
      <xdr:nvSpPr>
        <xdr:cNvPr id="2" name="TekstSylinder 1"/>
        <xdr:cNvSpPr txBox="1"/>
      </xdr:nvSpPr>
      <xdr:spPr>
        <a:xfrm>
          <a:off x="209550" y="4229101"/>
          <a:ext cx="5819775"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Kommentar til den budsjetterte varekostnaden:</a:t>
          </a:r>
          <a:r>
            <a:rPr lang="nb-NO"/>
            <a:t> </a:t>
          </a:r>
          <a:endParaRPr lang="nb-NO" sz="1100" b="0" i="0" u="none" strike="noStrike">
            <a:solidFill>
              <a:schemeClr val="dk1"/>
            </a:solidFill>
            <a:effectLst/>
            <a:latin typeface="+mn-lt"/>
            <a:ea typeface="+mn-ea"/>
            <a:cs typeface="+mn-cs"/>
          </a:endParaRPr>
        </a:p>
        <a:p>
          <a:r>
            <a:rPr lang="nb-NO" sz="1100" b="0" i="0" u="none" strike="noStrike">
              <a:solidFill>
                <a:schemeClr val="dk1"/>
              </a:solidFill>
              <a:effectLst/>
              <a:latin typeface="+mn-lt"/>
              <a:ea typeface="+mn-ea"/>
              <a:cs typeface="+mn-cs"/>
            </a:rPr>
            <a:t>Bruttofortjenesten utgjorde</a:t>
          </a:r>
          <a:r>
            <a:rPr lang="nb-NO" sz="1100" b="0" i="0" u="none" strike="noStrike" baseline="0">
              <a:solidFill>
                <a:schemeClr val="dk1"/>
              </a:solidFill>
              <a:effectLst/>
              <a:latin typeface="+mn-lt"/>
              <a:ea typeface="+mn-ea"/>
              <a:cs typeface="+mn-cs"/>
            </a:rPr>
            <a:t> i </a:t>
          </a:r>
          <a:r>
            <a:rPr lang="nb-NO" sz="1100" b="0" i="0" u="none" strike="noStrike">
              <a:solidFill>
                <a:schemeClr val="dk1"/>
              </a:solidFill>
              <a:effectLst/>
              <a:latin typeface="+mn-lt"/>
              <a:ea typeface="+mn-ea"/>
              <a:cs typeface="+mn-cs"/>
            </a:rPr>
            <a:t>2013</a:t>
          </a:r>
          <a:r>
            <a:rPr lang="nb-NO"/>
            <a:t> </a:t>
          </a:r>
          <a:r>
            <a:rPr lang="nb-NO" sz="1100" b="0" i="0" u="none" strike="noStrike">
              <a:solidFill>
                <a:schemeClr val="dk1"/>
              </a:solidFill>
              <a:effectLst/>
              <a:latin typeface="+mn-lt"/>
              <a:ea typeface="+mn-ea"/>
              <a:cs typeface="+mn-cs"/>
            </a:rPr>
            <a:t>38,7</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a:t>
          </a:r>
          <a:r>
            <a:rPr lang="nb-NO"/>
            <a:t>  av salgsinntektene. </a:t>
          </a:r>
          <a:r>
            <a:rPr lang="nb-NO" sz="1100" b="0" i="0" u="none" strike="noStrike">
              <a:solidFill>
                <a:schemeClr val="dk1"/>
              </a:solidFill>
              <a:effectLst/>
              <a:latin typeface="+mn-lt"/>
              <a:ea typeface="+mn-ea"/>
              <a:cs typeface="+mn-cs"/>
            </a:rPr>
            <a:t>Varekostnaden utgjorde</a:t>
          </a:r>
          <a:r>
            <a:rPr lang="nb-NO" sz="1100" b="0" i="0" u="none" strike="noStrike" baseline="0">
              <a:solidFill>
                <a:schemeClr val="dk1"/>
              </a:solidFill>
              <a:effectLst/>
              <a:latin typeface="+mn-lt"/>
              <a:ea typeface="+mn-ea"/>
              <a:cs typeface="+mn-cs"/>
            </a:rPr>
            <a:t> da</a:t>
          </a:r>
          <a:r>
            <a:rPr lang="nb-NO"/>
            <a:t> </a:t>
          </a:r>
          <a:r>
            <a:rPr lang="nb-NO" sz="1100" b="0" i="0" u="none" strike="noStrike">
              <a:solidFill>
                <a:schemeClr val="dk1"/>
              </a:solidFill>
              <a:effectLst/>
              <a:latin typeface="+mn-lt"/>
              <a:ea typeface="+mn-ea"/>
              <a:cs typeface="+mn-cs"/>
            </a:rPr>
            <a:t>61,3 %</a:t>
          </a:r>
          <a:r>
            <a:rPr lang="nb-NO"/>
            <a:t>  av salgsinntektene</a:t>
          </a:r>
          <a:r>
            <a:rPr lang="nb-NO" baseline="0"/>
            <a:t> (100 % - 38,7 %).</a:t>
          </a:r>
          <a:endParaRPr lang="nb-NO"/>
        </a:p>
        <a:p>
          <a:endParaRPr lang="nb-NO" sz="1100"/>
        </a:p>
        <a:p>
          <a:r>
            <a:rPr lang="nb-NO" sz="1100"/>
            <a:t>Vi forutsetter  at det er bruttofortjenesten i </a:t>
          </a:r>
          <a:r>
            <a:rPr lang="nb-NO" sz="1100" i="1"/>
            <a:t>prosent </a:t>
          </a:r>
          <a:r>
            <a:rPr lang="nb-NO" sz="1100"/>
            <a:t>som skal være uforandret. Da må den budsjetterte varekostnaden fortsatt</a:t>
          </a:r>
          <a:r>
            <a:rPr lang="nb-NO" sz="1100" baseline="0"/>
            <a:t> utgjøre </a:t>
          </a:r>
          <a:r>
            <a:rPr lang="nb-NO" sz="1100"/>
            <a:t>61,3</a:t>
          </a:r>
          <a:r>
            <a:rPr lang="nb-NO" sz="1100" baseline="0"/>
            <a:t> % av den budsjetterte salgsinntekten.</a:t>
          </a:r>
        </a:p>
        <a:p>
          <a:endParaRPr lang="nb-NO" sz="1100" baseline="0"/>
        </a:p>
        <a:p>
          <a:r>
            <a:rPr lang="nb-NO" sz="1100" baseline="0"/>
            <a:t>Budsjettert salgsinntekt: kr 11 150 000 * 1,1 = kr 12 265 000.</a:t>
          </a:r>
        </a:p>
        <a:p>
          <a:r>
            <a:rPr lang="nb-NO" sz="1100" baseline="0"/>
            <a:t>Budsjettert varekostnad: kr 12 265 000 * 0,613 = kr 7 518 445.</a:t>
          </a:r>
        </a:p>
        <a:p>
          <a:r>
            <a:rPr lang="nb-NO" sz="1100" baseline="0"/>
            <a:t>Den budsjetterte  </a:t>
          </a:r>
          <a:r>
            <a:rPr lang="nb-NO" sz="1100" i="1" baseline="0"/>
            <a:t>økningen</a:t>
          </a:r>
          <a:r>
            <a:rPr lang="nb-NO" sz="1100" baseline="0"/>
            <a:t> i varekostnaden blir da: kr 7 518 445 - kr 6 840 000 = kr 678 445</a:t>
          </a:r>
          <a:endParaRPr lang="nb-NO" sz="1100"/>
        </a:p>
        <a:p>
          <a:endParaRPr lang="nb-NO" sz="1100"/>
        </a:p>
      </xdr:txBody>
    </xdr:sp>
    <xdr:clientData/>
  </xdr:twoCellAnchor>
  <xdr:twoCellAnchor editAs="oneCell">
    <xdr:from>
      <xdr:col>0</xdr:col>
      <xdr:colOff>0</xdr:colOff>
      <xdr:row>0</xdr:row>
      <xdr:rowOff>0</xdr:rowOff>
    </xdr:from>
    <xdr:to>
      <xdr:col>2</xdr:col>
      <xdr:colOff>847724</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52824" cy="685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847724</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00449" cy="685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133349</xdr:colOff>
      <xdr:row>19</xdr:row>
      <xdr:rowOff>171450</xdr:rowOff>
    </xdr:from>
    <xdr:to>
      <xdr:col>7</xdr:col>
      <xdr:colOff>380999</xdr:colOff>
      <xdr:row>26</xdr:row>
      <xdr:rowOff>190499</xdr:rowOff>
    </xdr:to>
    <xdr:sp macro="" textlink="">
      <xdr:nvSpPr>
        <xdr:cNvPr id="2" name="TekstSylinder 1"/>
        <xdr:cNvSpPr txBox="1"/>
      </xdr:nvSpPr>
      <xdr:spPr>
        <a:xfrm>
          <a:off x="5486399" y="3200400"/>
          <a:ext cx="1781175" cy="1371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Varekostnaden, som er en variabel kostnad, varierer med salget. De faste kostnadene er uavhengige av salget og budsjetteres med samme beløp hver måned</a:t>
          </a:r>
        </a:p>
      </xdr:txBody>
    </xdr:sp>
    <xdr:clientData/>
  </xdr:twoCellAnchor>
  <xdr:twoCellAnchor>
    <xdr:from>
      <xdr:col>1</xdr:col>
      <xdr:colOff>19050</xdr:colOff>
      <xdr:row>64</xdr:row>
      <xdr:rowOff>161925</xdr:rowOff>
    </xdr:from>
    <xdr:to>
      <xdr:col>6</xdr:col>
      <xdr:colOff>28575</xdr:colOff>
      <xdr:row>68</xdr:row>
      <xdr:rowOff>104775</xdr:rowOff>
    </xdr:to>
    <xdr:sp macro="" textlink="">
      <xdr:nvSpPr>
        <xdr:cNvPr id="3" name="TekstSylinder 2"/>
        <xdr:cNvSpPr txBox="1"/>
      </xdr:nvSpPr>
      <xdr:spPr>
        <a:xfrm>
          <a:off x="247650" y="12020550"/>
          <a:ext cx="598170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Det budsjetterte resultatet er bedre i tredje kvartal fordi</a:t>
          </a:r>
          <a:r>
            <a:rPr lang="nb-NO" sz="1100" baseline="0"/>
            <a:t> mesteparten av salgsinntektene forventes å komme da.  BigOne AS budsjetterer med at 21 % av årssalget finner sted i 1. kvartal mens hele 33 % finner sted i 3. kvartal.</a:t>
          </a:r>
          <a:endParaRPr lang="nb-NO" sz="1100"/>
        </a:p>
      </xdr:txBody>
    </xdr:sp>
    <xdr:clientData/>
  </xdr:twoCellAnchor>
  <xdr:twoCellAnchor editAs="oneCell">
    <xdr:from>
      <xdr:col>0</xdr:col>
      <xdr:colOff>0</xdr:colOff>
      <xdr:row>0</xdr:row>
      <xdr:rowOff>0</xdr:rowOff>
    </xdr:from>
    <xdr:to>
      <xdr:col>2</xdr:col>
      <xdr:colOff>847724</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57599" cy="685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104775</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95675"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excel%20fasiter\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BUDSJETT"/>
      <sheetName val="LIKVIDITETSBUDSJETT"/>
      <sheetName val="BUDSJETTKONTROLL"/>
    </sheetNames>
    <sheetDataSet>
      <sheetData sheetId="0">
        <row r="2">
          <cell r="A2" t="str">
            <v>Navn/Oppgave nr:</v>
          </cell>
          <cell r="B2" t="str">
            <v>9.20</v>
          </cell>
        </row>
        <row r="4">
          <cell r="B4" t="str">
            <v>Årsregnskap</v>
          </cell>
          <cell r="C4">
            <v>2008</v>
          </cell>
          <cell r="D4" t="str">
            <v>Endringer</v>
          </cell>
          <cell r="F4" t="str">
            <v>Resultatbudsjett</v>
          </cell>
          <cell r="G4">
            <v>2009</v>
          </cell>
        </row>
        <row r="5">
          <cell r="C5" t="str">
            <v>Prosent av sum</v>
          </cell>
          <cell r="G5" t="str">
            <v>Prosent av sum</v>
          </cell>
        </row>
        <row r="6">
          <cell r="B6" t="str">
            <v>Kroner</v>
          </cell>
          <cell r="C6" t="str">
            <v>driftsinntekter</v>
          </cell>
          <cell r="D6" t="str">
            <v>Kroner</v>
          </cell>
          <cell r="E6" t="str">
            <v>Prosent</v>
          </cell>
          <cell r="F6" t="str">
            <v>Kroner</v>
          </cell>
          <cell r="G6" t="str">
            <v>driftsinntekter</v>
          </cell>
        </row>
        <row r="7">
          <cell r="A7" t="str">
            <v>Salgsinntekter</v>
          </cell>
          <cell r="B7">
            <v>6584800</v>
          </cell>
          <cell r="C7">
            <v>1</v>
          </cell>
          <cell r="E7">
            <v>-0.05</v>
          </cell>
          <cell r="F7">
            <v>6255600</v>
          </cell>
          <cell r="G7">
            <v>1</v>
          </cell>
        </row>
        <row r="8">
          <cell r="A8" t="str">
            <v>Andre driftsinntekter</v>
          </cell>
          <cell r="B8">
            <v>0</v>
          </cell>
          <cell r="C8">
            <v>0</v>
          </cell>
          <cell r="F8">
            <v>0</v>
          </cell>
          <cell r="G8">
            <v>0</v>
          </cell>
        </row>
        <row r="9">
          <cell r="A9" t="str">
            <v>-</v>
          </cell>
          <cell r="B9">
            <v>0</v>
          </cell>
          <cell r="C9">
            <v>0</v>
          </cell>
          <cell r="F9">
            <v>0</v>
          </cell>
          <cell r="G9">
            <v>0</v>
          </cell>
        </row>
        <row r="10">
          <cell r="A10" t="str">
            <v>Sum driftsinntekter</v>
          </cell>
          <cell r="B10">
            <v>6584800</v>
          </cell>
          <cell r="C10">
            <v>1</v>
          </cell>
          <cell r="F10">
            <v>6255600</v>
          </cell>
          <cell r="G10">
            <v>1</v>
          </cell>
        </row>
        <row r="11">
          <cell r="A11" t="str">
            <v>Varekostnad</v>
          </cell>
          <cell r="B11">
            <v>4730700</v>
          </cell>
          <cell r="C11">
            <v>0.71842728708540882</v>
          </cell>
          <cell r="D11">
            <v>-164165.30369465641</v>
          </cell>
          <cell r="F11">
            <v>4566500</v>
          </cell>
          <cell r="G11">
            <v>0.72998593260438649</v>
          </cell>
        </row>
        <row r="12">
          <cell r="A12" t="str">
            <v>Lønn</v>
          </cell>
          <cell r="B12">
            <v>566500</v>
          </cell>
          <cell r="C12">
            <v>8.6031466407483909E-2</v>
          </cell>
          <cell r="E12">
            <v>0.05</v>
          </cell>
          <cell r="F12">
            <v>594800</v>
          </cell>
          <cell r="G12">
            <v>9.508280580599783E-2</v>
          </cell>
        </row>
        <row r="13">
          <cell r="A13" t="str">
            <v>Ferielønn</v>
          </cell>
          <cell r="B13">
            <v>57800</v>
          </cell>
          <cell r="C13">
            <v>8.7777912768800866E-3</v>
          </cell>
          <cell r="D13">
            <v>10180</v>
          </cell>
          <cell r="F13">
            <v>68000</v>
          </cell>
          <cell r="G13">
            <v>1.087026024681885E-2</v>
          </cell>
        </row>
        <row r="14">
          <cell r="A14" t="str">
            <v>Arbeidsgiveravgift</v>
          </cell>
          <cell r="B14">
            <v>88000</v>
          </cell>
          <cell r="C14">
            <v>1.3364111286599442E-2</v>
          </cell>
          <cell r="D14">
            <v>1462</v>
          </cell>
          <cell r="F14">
            <v>89500</v>
          </cell>
          <cell r="G14">
            <v>1.4307180766033633E-2</v>
          </cell>
        </row>
        <row r="15">
          <cell r="A15" t="str">
            <v>Husleie</v>
          </cell>
          <cell r="B15">
            <v>162000</v>
          </cell>
          <cell r="C15">
            <v>2.46021139594217E-2</v>
          </cell>
          <cell r="D15">
            <v>9600</v>
          </cell>
          <cell r="F15">
            <v>171600</v>
          </cell>
          <cell r="G15">
            <v>2.7431421446384038E-2</v>
          </cell>
        </row>
        <row r="16">
          <cell r="A16" t="str">
            <v>Bilkostnader</v>
          </cell>
          <cell r="B16">
            <v>96200</v>
          </cell>
          <cell r="C16">
            <v>1.4609403474668934E-2</v>
          </cell>
          <cell r="D16">
            <v>3800</v>
          </cell>
          <cell r="F16">
            <v>100000</v>
          </cell>
          <cell r="G16">
            <v>1.5985676833557134E-2</v>
          </cell>
        </row>
        <row r="17">
          <cell r="A17" t="str">
            <v>Reklame og salgskostn.</v>
          </cell>
          <cell r="B17">
            <v>63900</v>
          </cell>
          <cell r="C17">
            <v>9.7041671728830027E-3</v>
          </cell>
          <cell r="E17">
            <v>0.05</v>
          </cell>
          <cell r="F17">
            <v>67100</v>
          </cell>
          <cell r="G17">
            <v>1.0726389155316837E-2</v>
          </cell>
        </row>
        <row r="18">
          <cell r="A18" t="str">
            <v>Andre driftskostnader</v>
          </cell>
          <cell r="B18">
            <v>142100</v>
          </cell>
          <cell r="C18">
            <v>2.1580002429838416E-2</v>
          </cell>
          <cell r="E18">
            <v>0.05</v>
          </cell>
          <cell r="F18">
            <v>149200</v>
          </cell>
          <cell r="G18">
            <v>2.3850629835667242E-2</v>
          </cell>
        </row>
        <row r="19">
          <cell r="A19" t="str">
            <v>Avskrivninger</v>
          </cell>
          <cell r="B19">
            <v>118600</v>
          </cell>
          <cell r="C19">
            <v>1.8011177256712429E-2</v>
          </cell>
          <cell r="F19">
            <v>118600</v>
          </cell>
          <cell r="G19">
            <v>1.895901272459876E-2</v>
          </cell>
        </row>
        <row r="20">
          <cell r="A20" t="str">
            <v>Sum driftskostnader</v>
          </cell>
          <cell r="B20">
            <v>6025800</v>
          </cell>
          <cell r="C20">
            <v>0.91510752034989673</v>
          </cell>
          <cell r="F20">
            <v>5925300</v>
          </cell>
          <cell r="G20">
            <v>0.94719930941876074</v>
          </cell>
        </row>
        <row r="21">
          <cell r="A21" t="str">
            <v>Driftsresultat</v>
          </cell>
          <cell r="B21">
            <v>559000</v>
          </cell>
          <cell r="C21">
            <v>8.489247965010327E-2</v>
          </cell>
          <cell r="F21">
            <v>330300</v>
          </cell>
          <cell r="G21">
            <v>5.2800690581239207E-2</v>
          </cell>
        </row>
        <row r="22">
          <cell r="A22" t="str">
            <v>Renteinntekter</v>
          </cell>
          <cell r="B22">
            <v>0</v>
          </cell>
          <cell r="C22">
            <v>0</v>
          </cell>
          <cell r="F22">
            <v>0</v>
          </cell>
          <cell r="G22">
            <v>0</v>
          </cell>
        </row>
        <row r="23">
          <cell r="A23" t="str">
            <v>Rentekostnader</v>
          </cell>
          <cell r="B23">
            <v>73600</v>
          </cell>
          <cell r="C23">
            <v>1.1177256712428623E-2</v>
          </cell>
          <cell r="D23">
            <v>-8600</v>
          </cell>
          <cell r="F23">
            <v>65000</v>
          </cell>
          <cell r="G23">
            <v>1.0390689941812137E-2</v>
          </cell>
        </row>
        <row r="24">
          <cell r="A24" t="str">
            <v>Resultat før skattekostnad</v>
          </cell>
          <cell r="B24">
            <v>485400</v>
          </cell>
          <cell r="C24">
            <v>7.3715222937674643E-2</v>
          </cell>
          <cell r="F24">
            <v>265300</v>
          </cell>
          <cell r="G24">
            <v>4.241000063942707E-2</v>
          </cell>
        </row>
        <row r="25">
          <cell r="A25" t="str">
            <v>Skattekostnad</v>
          </cell>
          <cell r="B25">
            <v>0</v>
          </cell>
          <cell r="C25">
            <v>0</v>
          </cell>
          <cell r="F25">
            <v>0</v>
          </cell>
          <cell r="G25">
            <v>0</v>
          </cell>
        </row>
        <row r="26">
          <cell r="A26" t="str">
            <v>Årsresultat</v>
          </cell>
          <cell r="B26">
            <v>485400</v>
          </cell>
          <cell r="C26">
            <v>7.3715222937674643E-2</v>
          </cell>
          <cell r="F26">
            <v>265300</v>
          </cell>
          <cell r="G26">
            <v>4.241000063942707E-2</v>
          </cell>
        </row>
        <row r="30">
          <cell r="A30" t="str">
            <v>PROSENTFORDELINGSTABELL</v>
          </cell>
        </row>
        <row r="31">
          <cell r="B31" t="str">
            <v>Januar</v>
          </cell>
          <cell r="C31" t="str">
            <v>Februar</v>
          </cell>
          <cell r="D31" t="str">
            <v>Mars</v>
          </cell>
          <cell r="E31" t="str">
            <v>Kvartalet</v>
          </cell>
        </row>
        <row r="32">
          <cell r="A32" t="str">
            <v>Salgsinntekter</v>
          </cell>
          <cell r="B32">
            <v>0.08</v>
          </cell>
          <cell r="C32">
            <v>7.2999999999999995E-2</v>
          </cell>
          <cell r="D32">
            <v>8.6999999999999994E-2</v>
          </cell>
          <cell r="E32">
            <v>0.24</v>
          </cell>
        </row>
        <row r="33">
          <cell r="A33" t="str">
            <v>Andre driftsinntekter</v>
          </cell>
          <cell r="B33">
            <v>8.3333333333333329E-2</v>
          </cell>
          <cell r="C33">
            <v>8.3333333333333329E-2</v>
          </cell>
          <cell r="D33">
            <v>8.3333333333333329E-2</v>
          </cell>
          <cell r="E33">
            <v>0.25</v>
          </cell>
        </row>
        <row r="34">
          <cell r="A34" t="str">
            <v>-</v>
          </cell>
          <cell r="B34">
            <v>8.3333333333333329E-2</v>
          </cell>
          <cell r="C34">
            <v>8.3333333333333329E-2</v>
          </cell>
          <cell r="D34">
            <v>8.3333333333333329E-2</v>
          </cell>
          <cell r="E34">
            <v>0.25</v>
          </cell>
        </row>
        <row r="35">
          <cell r="A35" t="str">
            <v>Varekostnad</v>
          </cell>
          <cell r="B35">
            <v>0.08</v>
          </cell>
          <cell r="C35">
            <v>7.2999999999999995E-2</v>
          </cell>
          <cell r="D35">
            <v>8.6999999999999994E-2</v>
          </cell>
          <cell r="E35">
            <v>0.24</v>
          </cell>
        </row>
        <row r="36">
          <cell r="A36" t="str">
            <v>Lønn</v>
          </cell>
          <cell r="B36">
            <v>8.5000000000000006E-2</v>
          </cell>
          <cell r="C36">
            <v>8.5000000000000006E-2</v>
          </cell>
          <cell r="D36">
            <v>8.5000000000000006E-2</v>
          </cell>
          <cell r="E36">
            <v>0.255</v>
          </cell>
        </row>
        <row r="37">
          <cell r="A37" t="str">
            <v>Ferielønn</v>
          </cell>
          <cell r="B37">
            <v>8.5000000000000006E-2</v>
          </cell>
          <cell r="C37">
            <v>8.5000000000000006E-2</v>
          </cell>
          <cell r="D37">
            <v>8.5000000000000006E-2</v>
          </cell>
          <cell r="E37">
            <v>0.255</v>
          </cell>
        </row>
        <row r="38">
          <cell r="A38" t="str">
            <v>Arbeidsgiveravgift</v>
          </cell>
          <cell r="B38">
            <v>8.5000000000000006E-2</v>
          </cell>
          <cell r="C38">
            <v>8.5000000000000006E-2</v>
          </cell>
          <cell r="D38">
            <v>8.5000000000000006E-2</v>
          </cell>
          <cell r="E38">
            <v>0.255</v>
          </cell>
        </row>
        <row r="39">
          <cell r="A39" t="str">
            <v>Husleie</v>
          </cell>
          <cell r="B39">
            <v>8.3333333333333329E-2</v>
          </cell>
          <cell r="C39">
            <v>8.3333333333333329E-2</v>
          </cell>
          <cell r="D39">
            <v>8.3333333333333329E-2</v>
          </cell>
          <cell r="E39">
            <v>0.25</v>
          </cell>
        </row>
        <row r="40">
          <cell r="A40" t="str">
            <v>Bilkostnader</v>
          </cell>
          <cell r="B40">
            <v>8.3333333333333329E-2</v>
          </cell>
          <cell r="C40">
            <v>8.3333333333333329E-2</v>
          </cell>
          <cell r="D40">
            <v>8.3333333333333329E-2</v>
          </cell>
          <cell r="E40">
            <v>0.25</v>
          </cell>
        </row>
        <row r="41">
          <cell r="A41" t="str">
            <v>Reklame og salgskostn.</v>
          </cell>
          <cell r="B41">
            <v>0.06</v>
          </cell>
          <cell r="C41">
            <v>0.06</v>
          </cell>
          <cell r="D41">
            <v>0.1</v>
          </cell>
          <cell r="E41">
            <v>0.22</v>
          </cell>
        </row>
        <row r="42">
          <cell r="A42" t="str">
            <v>Andre driftskostnader</v>
          </cell>
          <cell r="B42">
            <v>0.08</v>
          </cell>
          <cell r="C42">
            <v>7.4999999999999997E-2</v>
          </cell>
          <cell r="D42">
            <v>8.5000000000000006E-2</v>
          </cell>
          <cell r="E42">
            <v>0.24</v>
          </cell>
        </row>
        <row r="43">
          <cell r="A43" t="str">
            <v>Avskrivninger</v>
          </cell>
          <cell r="B43">
            <v>8.3333333333333329E-2</v>
          </cell>
          <cell r="C43">
            <v>8.3333333333333329E-2</v>
          </cell>
          <cell r="D43">
            <v>8.3333333333333329E-2</v>
          </cell>
          <cell r="E43">
            <v>0.25</v>
          </cell>
        </row>
        <row r="44">
          <cell r="A44" t="str">
            <v>Renteinntekter</v>
          </cell>
          <cell r="B44">
            <v>8.3333333333333329E-2</v>
          </cell>
          <cell r="C44">
            <v>8.3333333333333329E-2</v>
          </cell>
          <cell r="D44">
            <v>8.3333333333333329E-2</v>
          </cell>
          <cell r="E44">
            <v>0.25</v>
          </cell>
        </row>
        <row r="45">
          <cell r="A45" t="str">
            <v>Rentekostnader</v>
          </cell>
          <cell r="B45">
            <v>8.3333333333333329E-2</v>
          </cell>
          <cell r="C45">
            <v>8.3333333333333329E-2</v>
          </cell>
          <cell r="D45">
            <v>8.3333333333333329E-2</v>
          </cell>
          <cell r="E45">
            <v>0.25</v>
          </cell>
        </row>
        <row r="48">
          <cell r="A48" t="str">
            <v>MÅNEDSFORDELT RESULTATBUDSJETT</v>
          </cell>
        </row>
        <row r="49">
          <cell r="B49" t="str">
            <v>Januar</v>
          </cell>
          <cell r="C49" t="str">
            <v>Februar</v>
          </cell>
          <cell r="D49" t="str">
            <v>Mars</v>
          </cell>
          <cell r="E49" t="str">
            <v>Kvartalet</v>
          </cell>
        </row>
        <row r="50">
          <cell r="A50" t="str">
            <v>Salgsinntekter</v>
          </cell>
          <cell r="B50">
            <v>500400</v>
          </cell>
          <cell r="C50">
            <v>456700</v>
          </cell>
          <cell r="D50">
            <v>544200</v>
          </cell>
          <cell r="E50">
            <v>1501300</v>
          </cell>
        </row>
        <row r="51">
          <cell r="A51" t="str">
            <v>Andre driftsinntekter</v>
          </cell>
          <cell r="B51">
            <v>0</v>
          </cell>
          <cell r="C51">
            <v>0</v>
          </cell>
          <cell r="D51">
            <v>0</v>
          </cell>
          <cell r="E51">
            <v>0</v>
          </cell>
        </row>
        <row r="52">
          <cell r="A52" t="str">
            <v>-</v>
          </cell>
          <cell r="B52">
            <v>0</v>
          </cell>
          <cell r="C52">
            <v>0</v>
          </cell>
          <cell r="D52">
            <v>0</v>
          </cell>
          <cell r="E52">
            <v>0</v>
          </cell>
        </row>
        <row r="53">
          <cell r="A53" t="str">
            <v>Sum driftsinntekter</v>
          </cell>
          <cell r="B53">
            <v>500400</v>
          </cell>
          <cell r="C53">
            <v>456700</v>
          </cell>
          <cell r="D53">
            <v>544200</v>
          </cell>
          <cell r="E53">
            <v>1501300</v>
          </cell>
        </row>
        <row r="54">
          <cell r="A54" t="str">
            <v>Varekostnad</v>
          </cell>
          <cell r="B54">
            <v>365300</v>
          </cell>
          <cell r="C54">
            <v>333400</v>
          </cell>
          <cell r="D54">
            <v>397300</v>
          </cell>
          <cell r="E54">
            <v>1096000</v>
          </cell>
        </row>
        <row r="55">
          <cell r="A55" t="str">
            <v>Lønn</v>
          </cell>
          <cell r="B55">
            <v>50600</v>
          </cell>
          <cell r="C55">
            <v>50600</v>
          </cell>
          <cell r="D55">
            <v>50600</v>
          </cell>
          <cell r="E55">
            <v>151800</v>
          </cell>
        </row>
        <row r="56">
          <cell r="A56" t="str">
            <v>Ferielønn</v>
          </cell>
          <cell r="B56">
            <v>5800</v>
          </cell>
          <cell r="C56">
            <v>5800</v>
          </cell>
          <cell r="D56">
            <v>5800</v>
          </cell>
          <cell r="E56">
            <v>17400</v>
          </cell>
        </row>
        <row r="57">
          <cell r="A57" t="str">
            <v>Arbeidsgiveravgift</v>
          </cell>
          <cell r="B57">
            <v>7600</v>
          </cell>
          <cell r="C57">
            <v>7600</v>
          </cell>
          <cell r="D57">
            <v>7600</v>
          </cell>
          <cell r="E57">
            <v>22800</v>
          </cell>
        </row>
        <row r="58">
          <cell r="A58" t="str">
            <v>Husleie</v>
          </cell>
          <cell r="B58">
            <v>14300</v>
          </cell>
          <cell r="C58">
            <v>14300</v>
          </cell>
          <cell r="D58">
            <v>14300</v>
          </cell>
          <cell r="E58">
            <v>42900</v>
          </cell>
        </row>
        <row r="59">
          <cell r="A59" t="str">
            <v>Bilkostnader</v>
          </cell>
          <cell r="B59">
            <v>8300</v>
          </cell>
          <cell r="C59">
            <v>8300</v>
          </cell>
          <cell r="D59">
            <v>8300</v>
          </cell>
          <cell r="E59">
            <v>24900</v>
          </cell>
        </row>
        <row r="60">
          <cell r="A60" t="str">
            <v>Reklame og salgskostn.</v>
          </cell>
          <cell r="B60">
            <v>4000</v>
          </cell>
          <cell r="C60">
            <v>4000</v>
          </cell>
          <cell r="D60">
            <v>6700</v>
          </cell>
          <cell r="E60">
            <v>14700</v>
          </cell>
        </row>
        <row r="61">
          <cell r="A61" t="str">
            <v>Andre driftskostnader</v>
          </cell>
          <cell r="B61">
            <v>11900</v>
          </cell>
          <cell r="C61">
            <v>11200</v>
          </cell>
          <cell r="D61">
            <v>12700</v>
          </cell>
          <cell r="E61">
            <v>35800</v>
          </cell>
        </row>
        <row r="62">
          <cell r="A62" t="str">
            <v>Avskrivninger</v>
          </cell>
          <cell r="B62">
            <v>9900</v>
          </cell>
          <cell r="C62">
            <v>9900</v>
          </cell>
          <cell r="D62">
            <v>9900</v>
          </cell>
          <cell r="E62">
            <v>29700</v>
          </cell>
        </row>
        <row r="63">
          <cell r="A63" t="str">
            <v>Sum driftskostnader</v>
          </cell>
          <cell r="B63">
            <v>477700</v>
          </cell>
          <cell r="C63">
            <v>445100</v>
          </cell>
          <cell r="D63">
            <v>513200</v>
          </cell>
          <cell r="E63">
            <v>1436000</v>
          </cell>
        </row>
        <row r="64">
          <cell r="A64" t="str">
            <v>Driftsresultat</v>
          </cell>
          <cell r="B64">
            <v>22700</v>
          </cell>
          <cell r="C64">
            <v>11600</v>
          </cell>
          <cell r="D64">
            <v>31000</v>
          </cell>
          <cell r="E64">
            <v>65300</v>
          </cell>
        </row>
        <row r="65">
          <cell r="A65" t="str">
            <v>Renteinntekter</v>
          </cell>
          <cell r="B65">
            <v>0</v>
          </cell>
          <cell r="C65">
            <v>0</v>
          </cell>
          <cell r="D65">
            <v>0</v>
          </cell>
          <cell r="E65">
            <v>0</v>
          </cell>
        </row>
        <row r="66">
          <cell r="A66" t="str">
            <v>Rentekostnader</v>
          </cell>
          <cell r="B66">
            <v>5400</v>
          </cell>
          <cell r="C66">
            <v>5400</v>
          </cell>
          <cell r="D66">
            <v>5400</v>
          </cell>
          <cell r="E66">
            <v>16200</v>
          </cell>
        </row>
        <row r="67">
          <cell r="A67" t="str">
            <v>Resultat før skattekostnad</v>
          </cell>
          <cell r="B67">
            <v>17300</v>
          </cell>
          <cell r="C67">
            <v>6200</v>
          </cell>
          <cell r="D67">
            <v>25600</v>
          </cell>
          <cell r="E67">
            <v>49100</v>
          </cell>
        </row>
        <row r="68">
          <cell r="A68" t="str">
            <v>Skattekostnad</v>
          </cell>
          <cell r="E68">
            <v>0</v>
          </cell>
        </row>
        <row r="69">
          <cell r="A69" t="str">
            <v>Resultat</v>
          </cell>
          <cell r="B69">
            <v>17300</v>
          </cell>
          <cell r="C69">
            <v>6200</v>
          </cell>
          <cell r="D69">
            <v>25600</v>
          </cell>
          <cell r="E69">
            <v>49100</v>
          </cell>
        </row>
        <row r="70">
          <cell r="E70" t="str">
            <v>9.20</v>
          </cell>
        </row>
        <row r="209">
          <cell r="A209" t="str">
            <v>Navn/oppg.nr.</v>
          </cell>
          <cell r="B209" t="str">
            <v>9.20</v>
          </cell>
        </row>
        <row r="210">
          <cell r="A210" t="str">
            <v xml:space="preserve">NB! Bruk modellens menyknapp for utskrift!                                          </v>
          </cell>
        </row>
      </sheetData>
      <sheetData sheetId="1">
        <row r="1">
          <cell r="A1" t="str">
            <v>LIKVIDITETSBUDSJETT</v>
          </cell>
        </row>
        <row r="4">
          <cell r="A4" t="str">
            <v>BUDSJETTERTE INNBETALINGER FRA KUNDER</v>
          </cell>
          <cell r="F4" t="str">
            <v>?</v>
          </cell>
        </row>
        <row r="5">
          <cell r="A5" t="str">
            <v>Salgsbudsjett</v>
          </cell>
          <cell r="C5" t="str">
            <v>Januar</v>
          </cell>
          <cell r="D5" t="str">
            <v>Februar</v>
          </cell>
          <cell r="E5" t="str">
            <v>Mars</v>
          </cell>
          <cell r="F5" t="str">
            <v>Kvartalet</v>
          </cell>
        </row>
        <row r="6">
          <cell r="A6" t="str">
            <v>Salgsinntekter</v>
          </cell>
          <cell r="C6">
            <v>625556.25</v>
          </cell>
          <cell r="D6">
            <v>570820</v>
          </cell>
          <cell r="E6">
            <v>680292.5</v>
          </cell>
          <cell r="F6">
            <v>1876668.75</v>
          </cell>
        </row>
        <row r="7">
          <cell r="A7" t="str">
            <v xml:space="preserve"> + merverdiavgift</v>
          </cell>
          <cell r="B7">
            <v>0</v>
          </cell>
          <cell r="C7">
            <v>0</v>
          </cell>
          <cell r="D7">
            <v>0</v>
          </cell>
          <cell r="E7">
            <v>0</v>
          </cell>
          <cell r="F7">
            <v>0</v>
          </cell>
        </row>
        <row r="8">
          <cell r="A8" t="str">
            <v>= Salg med merverdiavgift</v>
          </cell>
          <cell r="C8">
            <v>625556.25</v>
          </cell>
          <cell r="D8">
            <v>570820</v>
          </cell>
          <cell r="E8">
            <v>680292.5</v>
          </cell>
          <cell r="F8">
            <v>1876668.75</v>
          </cell>
        </row>
        <row r="9">
          <cell r="A9" t="str">
            <v xml:space="preserve">   Kontantsalg</v>
          </cell>
          <cell r="B9">
            <v>0.1</v>
          </cell>
          <cell r="C9">
            <v>62600</v>
          </cell>
          <cell r="D9">
            <v>57100</v>
          </cell>
          <cell r="E9">
            <v>68000</v>
          </cell>
          <cell r="F9">
            <v>187700</v>
          </cell>
        </row>
        <row r="10">
          <cell r="A10" t="str">
            <v xml:space="preserve">   Kredittsalg</v>
          </cell>
          <cell r="B10">
            <v>0.9</v>
          </cell>
          <cell r="C10">
            <v>563000</v>
          </cell>
          <cell r="D10">
            <v>513700</v>
          </cell>
          <cell r="E10">
            <v>612300</v>
          </cell>
          <cell r="F10">
            <v>1689000</v>
          </cell>
        </row>
        <row r="12">
          <cell r="A12" t="str">
            <v>Kredittid i dager</v>
          </cell>
          <cell r="B12">
            <v>20</v>
          </cell>
          <cell r="C12" t="str">
            <v>Innbetales i</v>
          </cell>
        </row>
        <row r="13">
          <cell r="B13" t="str">
            <v>Kredittsalg</v>
          </cell>
          <cell r="C13" t="str">
            <v>Januar</v>
          </cell>
          <cell r="D13" t="str">
            <v>Februar</v>
          </cell>
          <cell r="E13" t="str">
            <v>Mars</v>
          </cell>
          <cell r="F13" t="str">
            <v>Kvartalet</v>
          </cell>
        </row>
        <row r="14">
          <cell r="A14" t="str">
            <v>IB kunder</v>
          </cell>
          <cell r="B14">
            <v>323100</v>
          </cell>
          <cell r="C14">
            <v>323100</v>
          </cell>
          <cell r="D14">
            <v>0</v>
          </cell>
          <cell r="E14">
            <v>0</v>
          </cell>
          <cell r="F14">
            <v>323100</v>
          </cell>
        </row>
        <row r="15">
          <cell r="A15" t="str">
            <v>Januar</v>
          </cell>
          <cell r="B15">
            <v>563000</v>
          </cell>
          <cell r="C15">
            <v>187700</v>
          </cell>
          <cell r="D15">
            <v>375300</v>
          </cell>
          <cell r="E15">
            <v>0</v>
          </cell>
          <cell r="F15">
            <v>563000</v>
          </cell>
        </row>
        <row r="16">
          <cell r="A16" t="str">
            <v>Februar</v>
          </cell>
          <cell r="B16">
            <v>513700</v>
          </cell>
          <cell r="D16">
            <v>171200</v>
          </cell>
          <cell r="E16">
            <v>342500</v>
          </cell>
          <cell r="F16">
            <v>513700</v>
          </cell>
        </row>
        <row r="17">
          <cell r="A17" t="str">
            <v>Mars</v>
          </cell>
          <cell r="B17">
            <v>612300</v>
          </cell>
          <cell r="E17">
            <v>204100</v>
          </cell>
          <cell r="F17">
            <v>204100</v>
          </cell>
        </row>
        <row r="18">
          <cell r="A18" t="str">
            <v>Innbetalinger fra kredittsalget</v>
          </cell>
          <cell r="C18">
            <v>510800</v>
          </cell>
          <cell r="D18">
            <v>546500</v>
          </cell>
          <cell r="E18">
            <v>546600</v>
          </cell>
          <cell r="F18">
            <v>1603900</v>
          </cell>
        </row>
        <row r="19">
          <cell r="A19" t="str">
            <v>Kontantsalg</v>
          </cell>
          <cell r="C19">
            <v>62600</v>
          </cell>
          <cell r="D19">
            <v>57100</v>
          </cell>
          <cell r="E19">
            <v>68000</v>
          </cell>
          <cell r="F19">
            <v>187700</v>
          </cell>
        </row>
        <row r="20">
          <cell r="A20" t="str">
            <v>Sum innbetalinger</v>
          </cell>
          <cell r="C20">
            <v>573400</v>
          </cell>
          <cell r="D20">
            <v>603600</v>
          </cell>
          <cell r="E20">
            <v>614600</v>
          </cell>
          <cell r="F20">
            <v>1791600</v>
          </cell>
        </row>
        <row r="30">
          <cell r="A30" t="str">
            <v>BUDSJETTERTE UTBETALINGER TIL VARELEVERANDØRER</v>
          </cell>
        </row>
        <row r="31">
          <cell r="C31" t="str">
            <v>Januar</v>
          </cell>
          <cell r="D31" t="str">
            <v>Februar</v>
          </cell>
          <cell r="E31" t="str">
            <v>Mars</v>
          </cell>
          <cell r="F31" t="str">
            <v>Kvartalet</v>
          </cell>
        </row>
        <row r="32">
          <cell r="A32" t="str">
            <v>= Varekostnad</v>
          </cell>
          <cell r="C32">
            <v>365323</v>
          </cell>
          <cell r="D32">
            <v>333357</v>
          </cell>
          <cell r="E32">
            <v>397289</v>
          </cell>
          <cell r="F32">
            <v>1095969</v>
          </cell>
        </row>
        <row r="33">
          <cell r="A33" t="str">
            <v>+ beholdningsendring</v>
          </cell>
          <cell r="C33">
            <v>0</v>
          </cell>
          <cell r="D33">
            <v>0</v>
          </cell>
          <cell r="E33">
            <v>0</v>
          </cell>
          <cell r="F33">
            <v>0</v>
          </cell>
        </row>
        <row r="34">
          <cell r="A34" t="str">
            <v xml:space="preserve">= Varekjøp </v>
          </cell>
          <cell r="C34">
            <v>365323</v>
          </cell>
          <cell r="D34">
            <v>333357</v>
          </cell>
          <cell r="E34">
            <v>397289</v>
          </cell>
          <cell r="F34">
            <v>1095969</v>
          </cell>
        </row>
        <row r="35">
          <cell r="A35" t="str">
            <v>+ merverdiavgift</v>
          </cell>
          <cell r="B35">
            <v>0</v>
          </cell>
          <cell r="C35">
            <v>0</v>
          </cell>
          <cell r="D35">
            <v>0</v>
          </cell>
          <cell r="E35">
            <v>0</v>
          </cell>
          <cell r="F35">
            <v>0</v>
          </cell>
        </row>
        <row r="36">
          <cell r="A36" t="str">
            <v>= Varekjøp m/mva</v>
          </cell>
          <cell r="C36">
            <v>365323</v>
          </cell>
          <cell r="D36">
            <v>333357</v>
          </cell>
          <cell r="E36">
            <v>397289</v>
          </cell>
          <cell r="F36">
            <v>1095969</v>
          </cell>
        </row>
        <row r="37">
          <cell r="A37" t="str">
            <v xml:space="preserve">   Kontantkjøp</v>
          </cell>
          <cell r="B37">
            <v>0</v>
          </cell>
          <cell r="C37">
            <v>0</v>
          </cell>
          <cell r="D37">
            <v>0</v>
          </cell>
          <cell r="E37">
            <v>0</v>
          </cell>
          <cell r="F37">
            <v>0</v>
          </cell>
        </row>
        <row r="38">
          <cell r="A38" t="str">
            <v xml:space="preserve">   Kredittkjøp</v>
          </cell>
          <cell r="B38">
            <v>1</v>
          </cell>
          <cell r="C38">
            <v>365300</v>
          </cell>
          <cell r="D38">
            <v>333400</v>
          </cell>
          <cell r="E38">
            <v>397300</v>
          </cell>
          <cell r="F38">
            <v>1096000</v>
          </cell>
        </row>
        <row r="40">
          <cell r="A40" t="str">
            <v>Kredittid</v>
          </cell>
          <cell r="B40">
            <v>30</v>
          </cell>
          <cell r="C40" t="str">
            <v xml:space="preserve">Utbetales i </v>
          </cell>
        </row>
        <row r="41">
          <cell r="B41" t="str">
            <v>Kredittkjøp</v>
          </cell>
          <cell r="C41" t="str">
            <v>Januar</v>
          </cell>
          <cell r="D41" t="str">
            <v>Februar</v>
          </cell>
          <cell r="E41" t="str">
            <v>Mars</v>
          </cell>
          <cell r="F41" t="str">
            <v>Kvartalet</v>
          </cell>
        </row>
        <row r="42">
          <cell r="A42" t="str">
            <v>IB vareleverandører</v>
          </cell>
          <cell r="B42">
            <v>517200</v>
          </cell>
          <cell r="C42">
            <v>517200</v>
          </cell>
          <cell r="D42">
            <v>0</v>
          </cell>
          <cell r="E42">
            <v>0</v>
          </cell>
          <cell r="F42">
            <v>517200</v>
          </cell>
        </row>
        <row r="43">
          <cell r="A43" t="str">
            <v>Januar</v>
          </cell>
          <cell r="B43">
            <v>365300</v>
          </cell>
          <cell r="C43">
            <v>0</v>
          </cell>
          <cell r="D43">
            <v>365300</v>
          </cell>
          <cell r="E43">
            <v>0</v>
          </cell>
          <cell r="F43">
            <v>365300</v>
          </cell>
        </row>
        <row r="44">
          <cell r="A44" t="str">
            <v>Februar</v>
          </cell>
          <cell r="B44">
            <v>333400</v>
          </cell>
          <cell r="D44">
            <v>0</v>
          </cell>
          <cell r="E44">
            <v>333400</v>
          </cell>
          <cell r="F44">
            <v>333400</v>
          </cell>
        </row>
        <row r="45">
          <cell r="A45" t="str">
            <v>Mars</v>
          </cell>
          <cell r="B45">
            <v>397300</v>
          </cell>
          <cell r="E45">
            <v>0</v>
          </cell>
          <cell r="F45">
            <v>0</v>
          </cell>
        </row>
        <row r="46">
          <cell r="A46" t="str">
            <v>Utbetaling - kredittkjøp</v>
          </cell>
          <cell r="C46">
            <v>517200</v>
          </cell>
          <cell r="D46">
            <v>365300</v>
          </cell>
          <cell r="E46">
            <v>333400</v>
          </cell>
          <cell r="F46">
            <v>1215900</v>
          </cell>
        </row>
        <row r="47">
          <cell r="A47" t="str">
            <v>Kontantkjøp</v>
          </cell>
          <cell r="C47">
            <v>0</v>
          </cell>
          <cell r="D47">
            <v>0</v>
          </cell>
          <cell r="E47">
            <v>0</v>
          </cell>
          <cell r="F47">
            <v>0</v>
          </cell>
        </row>
        <row r="48">
          <cell r="A48" t="str">
            <v>Sum utbetalinger</v>
          </cell>
          <cell r="C48">
            <v>517200</v>
          </cell>
          <cell r="D48">
            <v>365300</v>
          </cell>
          <cell r="E48">
            <v>333400</v>
          </cell>
          <cell r="F48">
            <v>1215900</v>
          </cell>
        </row>
        <row r="55">
          <cell r="A55" t="str">
            <v>LIKVIDITETSBUDSJETT</v>
          </cell>
          <cell r="F55" t="str">
            <v>?</v>
          </cell>
        </row>
        <row r="56">
          <cell r="C56" t="str">
            <v>Januar</v>
          </cell>
          <cell r="D56" t="str">
            <v>Februar</v>
          </cell>
          <cell r="E56" t="str">
            <v>Mars</v>
          </cell>
          <cell r="F56" t="str">
            <v>Kvartalet</v>
          </cell>
        </row>
        <row r="57">
          <cell r="A57" t="str">
            <v>Innbetalinger:</v>
          </cell>
        </row>
        <row r="58">
          <cell r="A58" t="str">
            <v>Innbetaling fra kunder</v>
          </cell>
          <cell r="C58">
            <v>573400</v>
          </cell>
          <cell r="D58">
            <v>603600</v>
          </cell>
          <cell r="E58">
            <v>614600</v>
          </cell>
          <cell r="F58">
            <v>1791600</v>
          </cell>
        </row>
        <row r="59">
          <cell r="A59" t="str">
            <v>Andre driftsinntekter</v>
          </cell>
          <cell r="C59">
            <v>0</v>
          </cell>
          <cell r="D59">
            <v>0</v>
          </cell>
          <cell r="E59">
            <v>0</v>
          </cell>
          <cell r="F59">
            <v>0</v>
          </cell>
        </row>
        <row r="60">
          <cell r="A60" t="str">
            <v>-</v>
          </cell>
          <cell r="C60">
            <v>0</v>
          </cell>
          <cell r="D60">
            <v>0</v>
          </cell>
          <cell r="E60">
            <v>0</v>
          </cell>
          <cell r="F60">
            <v>0</v>
          </cell>
        </row>
        <row r="61">
          <cell r="A61" t="str">
            <v>-</v>
          </cell>
          <cell r="C61">
            <v>0</v>
          </cell>
          <cell r="D61">
            <v>0</v>
          </cell>
          <cell r="E61">
            <v>0</v>
          </cell>
          <cell r="F61">
            <v>0</v>
          </cell>
        </row>
        <row r="62">
          <cell r="A62" t="str">
            <v>Sum</v>
          </cell>
          <cell r="C62">
            <v>573400</v>
          </cell>
          <cell r="D62">
            <v>603600</v>
          </cell>
          <cell r="E62">
            <v>614600</v>
          </cell>
          <cell r="F62">
            <v>1791600</v>
          </cell>
        </row>
        <row r="63">
          <cell r="A63" t="str">
            <v>Utbetalinger:</v>
          </cell>
        </row>
        <row r="64">
          <cell r="A64" t="str">
            <v>Utbetalinger til leverandører</v>
          </cell>
          <cell r="C64">
            <v>517200</v>
          </cell>
          <cell r="D64">
            <v>365300</v>
          </cell>
          <cell r="E64">
            <v>333400</v>
          </cell>
          <cell r="F64">
            <v>1215900</v>
          </cell>
        </row>
        <row r="65">
          <cell r="A65" t="str">
            <v>Lønn</v>
          </cell>
          <cell r="C65">
            <v>50600</v>
          </cell>
          <cell r="D65">
            <v>50600</v>
          </cell>
          <cell r="E65">
            <v>50600</v>
          </cell>
          <cell r="F65">
            <v>151800</v>
          </cell>
        </row>
        <row r="66">
          <cell r="A66" t="str">
            <v>Arbeidsgiveravgift</v>
          </cell>
          <cell r="C66">
            <v>13300</v>
          </cell>
          <cell r="D66">
            <v>0</v>
          </cell>
          <cell r="E66">
            <v>14269.199999999999</v>
          </cell>
          <cell r="F66">
            <v>27569.199999999997</v>
          </cell>
        </row>
        <row r="67">
          <cell r="A67" t="str">
            <v>Husleie</v>
          </cell>
          <cell r="C67">
            <v>14300</v>
          </cell>
          <cell r="D67">
            <v>14300</v>
          </cell>
          <cell r="E67">
            <v>14300</v>
          </cell>
          <cell r="F67">
            <v>42900</v>
          </cell>
        </row>
        <row r="68">
          <cell r="A68" t="str">
            <v>Bilkostnader</v>
          </cell>
          <cell r="C68">
            <v>8300</v>
          </cell>
          <cell r="D68">
            <v>8300</v>
          </cell>
          <cell r="E68">
            <v>8300</v>
          </cell>
          <cell r="F68">
            <v>24900</v>
          </cell>
        </row>
        <row r="69">
          <cell r="A69" t="str">
            <v>Reklame og salgskostnader</v>
          </cell>
          <cell r="C69">
            <v>4026</v>
          </cell>
          <cell r="D69">
            <v>4026</v>
          </cell>
          <cell r="E69">
            <v>6710</v>
          </cell>
          <cell r="F69">
            <v>14762</v>
          </cell>
        </row>
        <row r="70">
          <cell r="A70" t="str">
            <v>Andre driftskostnader</v>
          </cell>
          <cell r="C70">
            <v>11936</v>
          </cell>
          <cell r="D70">
            <v>11190</v>
          </cell>
          <cell r="E70">
            <v>12682</v>
          </cell>
          <cell r="F70">
            <v>35808</v>
          </cell>
        </row>
        <row r="71">
          <cell r="A71" t="str">
            <v>Skatt</v>
          </cell>
          <cell r="C71">
            <v>0</v>
          </cell>
          <cell r="D71">
            <v>35000</v>
          </cell>
          <cell r="E71">
            <v>0</v>
          </cell>
          <cell r="F71">
            <v>35000</v>
          </cell>
        </row>
        <row r="72">
          <cell r="A72" t="str">
            <v>Avdrag og renter</v>
          </cell>
          <cell r="C72">
            <v>0</v>
          </cell>
          <cell r="D72">
            <v>0</v>
          </cell>
          <cell r="E72">
            <v>39200</v>
          </cell>
          <cell r="F72">
            <v>39200</v>
          </cell>
        </row>
        <row r="73">
          <cell r="A73" t="str">
            <v>Merverdiavgift</v>
          </cell>
          <cell r="C73">
            <v>0</v>
          </cell>
          <cell r="D73">
            <v>41000</v>
          </cell>
          <cell r="E73">
            <v>0</v>
          </cell>
          <cell r="F73">
            <v>41000</v>
          </cell>
        </row>
        <row r="74">
          <cell r="A74" t="str">
            <v>-</v>
          </cell>
          <cell r="C74">
            <v>0</v>
          </cell>
          <cell r="D74">
            <v>0</v>
          </cell>
          <cell r="E74">
            <v>0</v>
          </cell>
          <cell r="F74">
            <v>0</v>
          </cell>
        </row>
        <row r="75">
          <cell r="A75" t="str">
            <v>-</v>
          </cell>
          <cell r="C75">
            <v>0</v>
          </cell>
          <cell r="D75">
            <v>0</v>
          </cell>
          <cell r="E75">
            <v>0</v>
          </cell>
          <cell r="F75">
            <v>0</v>
          </cell>
        </row>
        <row r="76">
          <cell r="A76" t="str">
            <v>-</v>
          </cell>
          <cell r="C76">
            <v>0</v>
          </cell>
          <cell r="D76">
            <v>0</v>
          </cell>
          <cell r="E76">
            <v>0</v>
          </cell>
          <cell r="F76">
            <v>0</v>
          </cell>
        </row>
        <row r="77">
          <cell r="A77" t="str">
            <v>-</v>
          </cell>
          <cell r="C77">
            <v>0</v>
          </cell>
          <cell r="D77">
            <v>0</v>
          </cell>
          <cell r="E77">
            <v>0</v>
          </cell>
          <cell r="F77">
            <v>0</v>
          </cell>
        </row>
        <row r="78">
          <cell r="A78" t="str">
            <v>Sum utbetalinger</v>
          </cell>
          <cell r="C78">
            <v>619662</v>
          </cell>
          <cell r="D78">
            <v>529716</v>
          </cell>
          <cell r="E78">
            <v>479461.2</v>
          </cell>
          <cell r="F78">
            <v>1628839.2</v>
          </cell>
        </row>
        <row r="79">
          <cell r="A79" t="str">
            <v>Innbetalinger - utbetalinger</v>
          </cell>
          <cell r="C79">
            <v>-46262</v>
          </cell>
          <cell r="D79">
            <v>73884</v>
          </cell>
          <cell r="E79">
            <v>135138.79999999999</v>
          </cell>
          <cell r="F79">
            <v>162760.79999999999</v>
          </cell>
        </row>
        <row r="80">
          <cell r="A80" t="str">
            <v>Likviditetsreserve IB (legges inn her)==&gt;</v>
          </cell>
          <cell r="C80">
            <v>165400</v>
          </cell>
          <cell r="D80">
            <v>119138</v>
          </cell>
          <cell r="E80">
            <v>193022</v>
          </cell>
          <cell r="F80">
            <v>165400</v>
          </cell>
        </row>
        <row r="81">
          <cell r="A81" t="str">
            <v>Likviditetsreserve UB</v>
          </cell>
          <cell r="C81">
            <v>119138</v>
          </cell>
          <cell r="D81">
            <v>193022</v>
          </cell>
          <cell r="E81">
            <v>328160.8</v>
          </cell>
          <cell r="F81">
            <v>328160.8</v>
          </cell>
        </row>
        <row r="84">
          <cell r="A84" t="str">
            <v>BUDSJETTSIMULERING</v>
          </cell>
        </row>
        <row r="85">
          <cell r="G85" t="str">
            <v xml:space="preserve"> </v>
          </cell>
        </row>
        <row r="86">
          <cell r="A86" t="str">
            <v>Budsjettforutsetninger:</v>
          </cell>
          <cell r="D86" t="str">
            <v xml:space="preserve">  </v>
          </cell>
        </row>
        <row r="87">
          <cell r="B87" t="str">
            <v>Opprinnelige</v>
          </cell>
          <cell r="C87" t="str">
            <v>Simulerte</v>
          </cell>
          <cell r="F87" t="str">
            <v>Opprinnelige</v>
          </cell>
          <cell r="G87" t="str">
            <v>Opprinnelige</v>
          </cell>
        </row>
        <row r="88">
          <cell r="A88" t="str">
            <v>Varesalg:</v>
          </cell>
          <cell r="B88" t="str">
            <v>tall</v>
          </cell>
          <cell r="C88" t="str">
            <v>tall</v>
          </cell>
          <cell r="D88" t="str">
            <v xml:space="preserve"> Nøkkeltall:</v>
          </cell>
          <cell r="F88" t="str">
            <v>tall</v>
          </cell>
          <cell r="G88" t="str">
            <v>tall</v>
          </cell>
        </row>
        <row r="89">
          <cell r="A89" t="str">
            <v xml:space="preserve">Andel kontantsalg </v>
          </cell>
          <cell r="B89">
            <v>0.1</v>
          </cell>
          <cell r="C89">
            <v>0</v>
          </cell>
          <cell r="D89" t="str">
            <v xml:space="preserve">    Likviditetsreserve UB</v>
          </cell>
          <cell r="G89">
            <v>328160.8</v>
          </cell>
        </row>
        <row r="90">
          <cell r="A90" t="str">
            <v>Andel kredittsalg</v>
          </cell>
          <cell r="B90">
            <v>0.9</v>
          </cell>
          <cell r="C90">
            <v>1</v>
          </cell>
          <cell r="D90" t="str">
            <v xml:space="preserve">          "              "  i prosent *)</v>
          </cell>
          <cell r="G90" t="str">
            <v>?</v>
          </cell>
        </row>
        <row r="91">
          <cell r="A91" t="str">
            <v>Kredittid</v>
          </cell>
          <cell r="B91">
            <v>20</v>
          </cell>
          <cell r="C91">
            <v>0</v>
          </cell>
        </row>
        <row r="93">
          <cell r="A93" t="str">
            <v>Varekjøp:</v>
          </cell>
          <cell r="D93" t="str">
            <v>*) Likviditetsreserven regnes i prosent av budsjetterte driftsinntekter</v>
          </cell>
        </row>
        <row r="94">
          <cell r="A94" t="str">
            <v>Andel kontantkjøp</v>
          </cell>
          <cell r="B94">
            <v>0</v>
          </cell>
          <cell r="C94">
            <v>0</v>
          </cell>
          <cell r="D94" t="str">
            <v xml:space="preserve">   for neste år. Driftsinntektene kan du taste inn her: </v>
          </cell>
          <cell r="G94">
            <v>0</v>
          </cell>
        </row>
        <row r="95">
          <cell r="A95" t="str">
            <v>Andel kredittkjøp</v>
          </cell>
          <cell r="B95">
            <v>1</v>
          </cell>
          <cell r="C95">
            <v>1</v>
          </cell>
        </row>
        <row r="96">
          <cell r="A96" t="str">
            <v>Kredittid</v>
          </cell>
          <cell r="B96">
            <v>30</v>
          </cell>
          <cell r="C96">
            <v>0</v>
          </cell>
        </row>
        <row r="185">
          <cell r="C185">
            <v>2</v>
          </cell>
        </row>
        <row r="200">
          <cell r="A200" t="str">
            <v>Navn/oppg.nr.</v>
          </cell>
          <cell r="B200" t="str">
            <v>?</v>
          </cell>
        </row>
        <row r="201">
          <cell r="A201" t="str">
            <v xml:space="preserve">NB! Bruk modellens menyknapp for utskrift!                                          </v>
          </cell>
        </row>
      </sheetData>
      <sheetData sheetId="2">
        <row r="2">
          <cell r="A2" t="str">
            <v>Navn/Oppgave nr.:</v>
          </cell>
          <cell r="B2" t="str">
            <v>?</v>
          </cell>
        </row>
        <row r="4">
          <cell r="B4" t="str">
            <v>Budsjett</v>
          </cell>
          <cell r="D4" t="str">
            <v>Regnskap</v>
          </cell>
          <cell r="F4" t="str">
            <v>Avvik</v>
          </cell>
        </row>
        <row r="5">
          <cell r="C5" t="str">
            <v>Prosent av sum</v>
          </cell>
          <cell r="E5" t="str">
            <v>Prosent av sum</v>
          </cell>
          <cell r="G5" t="str">
            <v xml:space="preserve">Prosent av </v>
          </cell>
        </row>
        <row r="6">
          <cell r="B6" t="str">
            <v>Kroner</v>
          </cell>
          <cell r="C6" t="str">
            <v>driftsinntekter</v>
          </cell>
          <cell r="D6" t="str">
            <v>Kroner</v>
          </cell>
          <cell r="E6" t="str">
            <v>driftsinntekter</v>
          </cell>
          <cell r="F6" t="str">
            <v>Kroner</v>
          </cell>
          <cell r="G6" t="str">
            <v>budsjett</v>
          </cell>
        </row>
        <row r="7">
          <cell r="A7" t="str">
            <v>Salgsinntekter</v>
          </cell>
          <cell r="B7">
            <v>0</v>
          </cell>
          <cell r="C7" t="str">
            <v/>
          </cell>
          <cell r="D7">
            <v>0</v>
          </cell>
          <cell r="E7" t="str">
            <v/>
          </cell>
          <cell r="F7">
            <v>0</v>
          </cell>
          <cell r="G7" t="str">
            <v/>
          </cell>
        </row>
        <row r="8">
          <cell r="A8" t="str">
            <v>Andre driftsinntekter</v>
          </cell>
          <cell r="B8">
            <v>0</v>
          </cell>
          <cell r="C8" t="str">
            <v/>
          </cell>
          <cell r="D8">
            <v>0</v>
          </cell>
          <cell r="E8" t="str">
            <v/>
          </cell>
          <cell r="F8">
            <v>0</v>
          </cell>
          <cell r="G8" t="str">
            <v/>
          </cell>
        </row>
        <row r="9">
          <cell r="A9" t="str">
            <v>-</v>
          </cell>
          <cell r="B9">
            <v>0</v>
          </cell>
          <cell r="C9" t="str">
            <v/>
          </cell>
          <cell r="D9">
            <v>0</v>
          </cell>
          <cell r="E9" t="str">
            <v/>
          </cell>
          <cell r="F9">
            <v>0</v>
          </cell>
          <cell r="G9" t="str">
            <v/>
          </cell>
        </row>
        <row r="10">
          <cell r="A10" t="str">
            <v>Sum driftsinntekter</v>
          </cell>
          <cell r="B10">
            <v>0</v>
          </cell>
          <cell r="C10" t="str">
            <v/>
          </cell>
          <cell r="D10">
            <v>0</v>
          </cell>
          <cell r="E10" t="str">
            <v/>
          </cell>
          <cell r="F10">
            <v>0</v>
          </cell>
          <cell r="G10" t="str">
            <v/>
          </cell>
        </row>
        <row r="11">
          <cell r="A11" t="str">
            <v>-</v>
          </cell>
          <cell r="B11">
            <v>0</v>
          </cell>
          <cell r="C11" t="str">
            <v/>
          </cell>
          <cell r="D11">
            <v>0</v>
          </cell>
          <cell r="E11" t="str">
            <v/>
          </cell>
          <cell r="F11">
            <v>0</v>
          </cell>
          <cell r="G11" t="str">
            <v/>
          </cell>
        </row>
        <row r="12">
          <cell r="A12" t="str">
            <v>-</v>
          </cell>
          <cell r="B12">
            <v>0</v>
          </cell>
          <cell r="C12" t="str">
            <v/>
          </cell>
          <cell r="D12">
            <v>0</v>
          </cell>
          <cell r="E12" t="str">
            <v/>
          </cell>
          <cell r="F12">
            <v>0</v>
          </cell>
          <cell r="G12" t="str">
            <v/>
          </cell>
        </row>
        <row r="13">
          <cell r="A13" t="str">
            <v>-</v>
          </cell>
          <cell r="B13">
            <v>0</v>
          </cell>
          <cell r="C13" t="str">
            <v/>
          </cell>
          <cell r="D13">
            <v>0</v>
          </cell>
          <cell r="E13" t="str">
            <v/>
          </cell>
          <cell r="F13">
            <v>0</v>
          </cell>
          <cell r="G13" t="str">
            <v/>
          </cell>
        </row>
        <row r="14">
          <cell r="A14" t="str">
            <v>-</v>
          </cell>
          <cell r="B14">
            <v>0</v>
          </cell>
          <cell r="C14" t="str">
            <v/>
          </cell>
          <cell r="D14">
            <v>0</v>
          </cell>
          <cell r="E14" t="str">
            <v/>
          </cell>
          <cell r="F14">
            <v>0</v>
          </cell>
          <cell r="G14" t="str">
            <v/>
          </cell>
        </row>
        <row r="15">
          <cell r="A15" t="str">
            <v>-</v>
          </cell>
          <cell r="B15">
            <v>0</v>
          </cell>
          <cell r="C15" t="str">
            <v/>
          </cell>
          <cell r="D15">
            <v>0</v>
          </cell>
          <cell r="E15" t="str">
            <v/>
          </cell>
          <cell r="F15">
            <v>0</v>
          </cell>
          <cell r="G15" t="str">
            <v/>
          </cell>
        </row>
        <row r="16">
          <cell r="A16" t="str">
            <v>-</v>
          </cell>
          <cell r="B16">
            <v>0</v>
          </cell>
          <cell r="C16" t="str">
            <v/>
          </cell>
          <cell r="D16">
            <v>0</v>
          </cell>
          <cell r="E16" t="str">
            <v/>
          </cell>
          <cell r="F16">
            <v>0</v>
          </cell>
          <cell r="G16" t="str">
            <v/>
          </cell>
        </row>
        <row r="17">
          <cell r="A17" t="str">
            <v>Sum driftskostnader</v>
          </cell>
          <cell r="B17">
            <v>0</v>
          </cell>
          <cell r="C17" t="str">
            <v/>
          </cell>
          <cell r="D17">
            <v>0</v>
          </cell>
          <cell r="E17" t="str">
            <v/>
          </cell>
          <cell r="F17">
            <v>0</v>
          </cell>
          <cell r="G17" t="str">
            <v/>
          </cell>
        </row>
        <row r="18">
          <cell r="A18" t="str">
            <v>Driftsresultat</v>
          </cell>
          <cell r="B18">
            <v>0</v>
          </cell>
          <cell r="C18" t="str">
            <v/>
          </cell>
          <cell r="D18">
            <v>0</v>
          </cell>
          <cell r="E18" t="str">
            <v/>
          </cell>
          <cell r="F18">
            <v>0</v>
          </cell>
          <cell r="G18" t="str">
            <v/>
          </cell>
        </row>
        <row r="19">
          <cell r="A19" t="str">
            <v>Renteinntekter</v>
          </cell>
          <cell r="B19">
            <v>0</v>
          </cell>
          <cell r="C19" t="str">
            <v/>
          </cell>
          <cell r="D19">
            <v>0</v>
          </cell>
          <cell r="E19" t="str">
            <v/>
          </cell>
          <cell r="F19">
            <v>0</v>
          </cell>
          <cell r="G19" t="str">
            <v/>
          </cell>
        </row>
        <row r="20">
          <cell r="A20" t="str">
            <v>Rentekostnader</v>
          </cell>
          <cell r="B20">
            <v>0</v>
          </cell>
          <cell r="C20" t="str">
            <v/>
          </cell>
          <cell r="D20">
            <v>0</v>
          </cell>
          <cell r="E20" t="str">
            <v/>
          </cell>
          <cell r="F20">
            <v>0</v>
          </cell>
          <cell r="G20" t="str">
            <v/>
          </cell>
        </row>
        <row r="21">
          <cell r="A21" t="str">
            <v>Resultat før skattekostnad</v>
          </cell>
          <cell r="B21">
            <v>0</v>
          </cell>
          <cell r="C21" t="str">
            <v/>
          </cell>
          <cell r="D21">
            <v>0</v>
          </cell>
          <cell r="E21" t="str">
            <v/>
          </cell>
          <cell r="F21">
            <v>0</v>
          </cell>
          <cell r="G21" t="str">
            <v/>
          </cell>
        </row>
        <row r="22">
          <cell r="A22" t="str">
            <v>Skattekostnad</v>
          </cell>
          <cell r="B22">
            <v>0</v>
          </cell>
          <cell r="C22" t="str">
            <v/>
          </cell>
          <cell r="D22">
            <v>0</v>
          </cell>
          <cell r="E22" t="str">
            <v/>
          </cell>
          <cell r="F22">
            <v>0</v>
          </cell>
          <cell r="G22" t="str">
            <v/>
          </cell>
        </row>
        <row r="23">
          <cell r="A23" t="str">
            <v>Årsresultat</v>
          </cell>
          <cell r="B23">
            <v>0</v>
          </cell>
          <cell r="C23" t="str">
            <v/>
          </cell>
          <cell r="D23">
            <v>0</v>
          </cell>
          <cell r="E23" t="str">
            <v/>
          </cell>
          <cell r="F23">
            <v>0</v>
          </cell>
          <cell r="G23" t="str">
            <v/>
          </cell>
        </row>
        <row r="200">
          <cell r="A200" t="str">
            <v>Navn/oppg.nr.</v>
          </cell>
          <cell r="B200" t="str">
            <v>?</v>
          </cell>
        </row>
        <row r="201">
          <cell r="A201" t="str">
            <v xml:space="preserve">NB! Bruk modellens menyknapp for utskrift!                                          </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tabSelected="1" workbookViewId="0">
      <selection activeCell="A5" sqref="A5"/>
    </sheetView>
  </sheetViews>
  <sheetFormatPr baseColWidth="10" defaultRowHeight="15" x14ac:dyDescent="0.25"/>
  <sheetData>
    <row r="5" spans="1:1" ht="18.75" x14ac:dyDescent="0.3">
      <c r="A5" s="276" t="s">
        <v>340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32"/>
  <sheetViews>
    <sheetView workbookViewId="0">
      <selection activeCell="G16" sqref="G16"/>
    </sheetView>
  </sheetViews>
  <sheetFormatPr baseColWidth="10" defaultRowHeight="15" x14ac:dyDescent="0.25"/>
  <cols>
    <col min="1" max="1" width="23.42578125" customWidth="1"/>
    <col min="2" max="2" width="11.7109375" customWidth="1"/>
    <col min="3" max="5" width="11.7109375" style="2" customWidth="1"/>
  </cols>
  <sheetData>
    <row r="5" spans="1:5" ht="18.75" x14ac:dyDescent="0.3">
      <c r="A5" s="278" t="s">
        <v>358</v>
      </c>
      <c r="B5" s="20"/>
    </row>
    <row r="6" spans="1:5" ht="18.75" x14ac:dyDescent="0.3">
      <c r="A6" s="278"/>
      <c r="B6" s="20"/>
    </row>
    <row r="7" spans="1:5" x14ac:dyDescent="0.25">
      <c r="A7" s="20"/>
      <c r="B7" s="102" t="s">
        <v>139</v>
      </c>
      <c r="C7" s="2" t="s">
        <v>168</v>
      </c>
      <c r="D7" s="2" t="s">
        <v>169</v>
      </c>
      <c r="E7" s="2" t="s">
        <v>170</v>
      </c>
    </row>
    <row r="8" spans="1:5" x14ac:dyDescent="0.25">
      <c r="A8" s="102" t="s">
        <v>171</v>
      </c>
      <c r="B8" s="103">
        <v>260000</v>
      </c>
      <c r="C8" s="13">
        <v>280000</v>
      </c>
      <c r="D8" s="13">
        <v>250000</v>
      </c>
      <c r="E8" s="13">
        <v>310000</v>
      </c>
    </row>
    <row r="9" spans="1:5" x14ac:dyDescent="0.25">
      <c r="A9" s="102" t="s">
        <v>172</v>
      </c>
      <c r="B9" s="126">
        <f>B8*0.25</f>
        <v>65000</v>
      </c>
      <c r="C9" s="126">
        <f t="shared" ref="C9:E9" si="0">C8*0.25</f>
        <v>70000</v>
      </c>
      <c r="D9" s="126">
        <f t="shared" si="0"/>
        <v>62500</v>
      </c>
      <c r="E9" s="126">
        <f t="shared" si="0"/>
        <v>77500</v>
      </c>
    </row>
    <row r="10" spans="1:5" x14ac:dyDescent="0.25">
      <c r="A10" s="102" t="s">
        <v>173</v>
      </c>
      <c r="B10" s="104">
        <f>B8+B9</f>
        <v>325000</v>
      </c>
      <c r="C10" s="104">
        <f t="shared" ref="C10:E10" si="1">C8+C9</f>
        <v>350000</v>
      </c>
      <c r="D10" s="104">
        <f t="shared" si="1"/>
        <v>312500</v>
      </c>
      <c r="E10" s="104">
        <f t="shared" si="1"/>
        <v>387500</v>
      </c>
    </row>
    <row r="11" spans="1:5" x14ac:dyDescent="0.25">
      <c r="A11" s="20"/>
      <c r="B11" s="20"/>
    </row>
    <row r="12" spans="1:5" x14ac:dyDescent="0.25">
      <c r="A12" s="20" t="s">
        <v>186</v>
      </c>
      <c r="B12" s="20"/>
    </row>
    <row r="13" spans="1:5" x14ac:dyDescent="0.25">
      <c r="A13" s="20"/>
      <c r="B13" s="20"/>
    </row>
    <row r="14" spans="1:5" x14ac:dyDescent="0.25">
      <c r="A14" s="20"/>
      <c r="B14" s="20"/>
      <c r="C14" s="2" t="s">
        <v>168</v>
      </c>
      <c r="D14" s="2" t="s">
        <v>169</v>
      </c>
      <c r="E14" s="2" t="s">
        <v>170</v>
      </c>
    </row>
    <row r="15" spans="1:5" ht="15.75" thickBot="1" x14ac:dyDescent="0.3">
      <c r="A15" s="102" t="s">
        <v>174</v>
      </c>
      <c r="B15" s="20"/>
      <c r="C15" s="19">
        <f>C10</f>
        <v>350000</v>
      </c>
      <c r="D15" s="19">
        <f>D10</f>
        <v>312500</v>
      </c>
      <c r="E15" s="19">
        <f>E10</f>
        <v>387500</v>
      </c>
    </row>
    <row r="16" spans="1:5" ht="15.75" thickTop="1" x14ac:dyDescent="0.25">
      <c r="A16" s="20"/>
      <c r="B16" s="20"/>
    </row>
    <row r="17" spans="1:7" x14ac:dyDescent="0.25">
      <c r="A17" s="20" t="s">
        <v>187</v>
      </c>
      <c r="B17" s="20"/>
    </row>
    <row r="18" spans="1:7" x14ac:dyDescent="0.25">
      <c r="A18" s="20"/>
      <c r="B18" s="20"/>
    </row>
    <row r="19" spans="1:7" x14ac:dyDescent="0.25">
      <c r="A19" s="20"/>
      <c r="B19" s="20"/>
      <c r="C19" s="2" t="s">
        <v>168</v>
      </c>
      <c r="D19" s="2" t="s">
        <v>169</v>
      </c>
      <c r="E19" s="2" t="s">
        <v>170</v>
      </c>
    </row>
    <row r="20" spans="1:7" ht="15.75" thickBot="1" x14ac:dyDescent="0.3">
      <c r="A20" s="102" t="s">
        <v>174</v>
      </c>
      <c r="B20" s="20"/>
      <c r="C20" s="19">
        <f>B10</f>
        <v>325000</v>
      </c>
      <c r="D20" s="19">
        <f>C10</f>
        <v>350000</v>
      </c>
      <c r="E20" s="19">
        <f>D10</f>
        <v>312500</v>
      </c>
    </row>
    <row r="21" spans="1:7" ht="15.75" thickTop="1" x14ac:dyDescent="0.25">
      <c r="A21" s="20"/>
      <c r="B21" s="20"/>
    </row>
    <row r="22" spans="1:7" x14ac:dyDescent="0.25">
      <c r="A22" s="20" t="s">
        <v>175</v>
      </c>
      <c r="B22" s="20"/>
    </row>
    <row r="23" spans="1:7" x14ac:dyDescent="0.25">
      <c r="A23" s="105"/>
      <c r="B23" s="105"/>
      <c r="C23" s="106"/>
      <c r="D23" s="106"/>
      <c r="E23" s="106"/>
      <c r="F23" s="107"/>
      <c r="G23" s="107"/>
    </row>
    <row r="24" spans="1:7" x14ac:dyDescent="0.25">
      <c r="A24" s="107" t="s">
        <v>176</v>
      </c>
      <c r="B24" s="108" t="s">
        <v>177</v>
      </c>
      <c r="C24" s="106"/>
      <c r="D24" s="106"/>
      <c r="E24" s="106"/>
      <c r="F24" s="107"/>
      <c r="G24" s="107"/>
    </row>
    <row r="25" spans="1:7" x14ac:dyDescent="0.25">
      <c r="A25" s="109" t="s">
        <v>178</v>
      </c>
      <c r="B25" s="110">
        <v>0.5</v>
      </c>
      <c r="C25" s="111"/>
      <c r="D25" s="112"/>
      <c r="E25" s="112"/>
      <c r="F25" s="109"/>
      <c r="G25" s="109"/>
    </row>
    <row r="26" spans="1:7" x14ac:dyDescent="0.25">
      <c r="A26" s="107" t="s">
        <v>179</v>
      </c>
      <c r="B26" s="113">
        <v>0.25</v>
      </c>
      <c r="C26" s="114"/>
      <c r="D26" s="106"/>
      <c r="E26" s="310" t="s">
        <v>180</v>
      </c>
      <c r="F26" s="310"/>
      <c r="G26" s="115"/>
    </row>
    <row r="27" spans="1:7" ht="30" x14ac:dyDescent="0.25">
      <c r="A27" s="116" t="s">
        <v>181</v>
      </c>
      <c r="B27" s="117" t="s">
        <v>182</v>
      </c>
      <c r="C27" s="118" t="s">
        <v>183</v>
      </c>
      <c r="D27" s="118" t="s">
        <v>184</v>
      </c>
      <c r="E27" s="118" t="s">
        <v>168</v>
      </c>
      <c r="F27" s="119" t="s">
        <v>169</v>
      </c>
      <c r="G27" s="119" t="s">
        <v>170</v>
      </c>
    </row>
    <row r="28" spans="1:7" x14ac:dyDescent="0.25">
      <c r="A28" s="120" t="s">
        <v>139</v>
      </c>
      <c r="B28" s="121">
        <v>325000</v>
      </c>
      <c r="C28" s="122">
        <f>B28*$B$25</f>
        <v>162500</v>
      </c>
      <c r="D28" s="122">
        <f>C28</f>
        <v>162500</v>
      </c>
      <c r="E28" s="122">
        <f>D28</f>
        <v>162500</v>
      </c>
      <c r="F28" s="122"/>
      <c r="G28" s="122"/>
    </row>
    <row r="29" spans="1:7" x14ac:dyDescent="0.25">
      <c r="A29" s="120" t="s">
        <v>168</v>
      </c>
      <c r="B29" s="121">
        <f>C10</f>
        <v>350000</v>
      </c>
      <c r="C29" s="122">
        <f t="shared" ref="C29:C31" si="2">B29*$B$25</f>
        <v>175000</v>
      </c>
      <c r="D29" s="122">
        <f t="shared" ref="D29:D31" si="3">C29</f>
        <v>175000</v>
      </c>
      <c r="E29" s="122">
        <f>C29</f>
        <v>175000</v>
      </c>
      <c r="F29" s="122">
        <f>D29</f>
        <v>175000</v>
      </c>
      <c r="G29" s="122"/>
    </row>
    <row r="30" spans="1:7" x14ac:dyDescent="0.25">
      <c r="A30" s="120" t="s">
        <v>169</v>
      </c>
      <c r="B30" s="121">
        <f>D10</f>
        <v>312500</v>
      </c>
      <c r="C30" s="122">
        <f t="shared" si="2"/>
        <v>156250</v>
      </c>
      <c r="D30" s="122">
        <f t="shared" si="3"/>
        <v>156250</v>
      </c>
      <c r="E30" s="122"/>
      <c r="F30" s="122">
        <f>C30</f>
        <v>156250</v>
      </c>
      <c r="G30" s="122">
        <f>D30</f>
        <v>156250</v>
      </c>
    </row>
    <row r="31" spans="1:7" x14ac:dyDescent="0.25">
      <c r="A31" s="120" t="s">
        <v>170</v>
      </c>
      <c r="B31" s="121">
        <f>E10</f>
        <v>387500</v>
      </c>
      <c r="C31" s="122">
        <f t="shared" si="2"/>
        <v>193750</v>
      </c>
      <c r="D31" s="122">
        <f t="shared" si="3"/>
        <v>193750</v>
      </c>
      <c r="E31" s="122"/>
      <c r="F31" s="122"/>
      <c r="G31" s="122">
        <f>C31</f>
        <v>193750</v>
      </c>
    </row>
    <row r="32" spans="1:7" x14ac:dyDescent="0.25">
      <c r="A32" s="123" t="s">
        <v>185</v>
      </c>
      <c r="B32" s="123"/>
      <c r="C32" s="124"/>
      <c r="D32" s="124"/>
      <c r="E32" s="125">
        <f>SUM(E28:E31)</f>
        <v>337500</v>
      </c>
      <c r="F32" s="125">
        <f t="shared" ref="F32:G32" si="4">SUM(F28:F31)</f>
        <v>331250</v>
      </c>
      <c r="G32" s="125">
        <f t="shared" si="4"/>
        <v>350000</v>
      </c>
    </row>
  </sheetData>
  <mergeCells count="1">
    <mergeCell ref="E26:F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4"/>
  <sheetViews>
    <sheetView workbookViewId="0">
      <selection activeCell="C7" sqref="C7"/>
    </sheetView>
  </sheetViews>
  <sheetFormatPr baseColWidth="10" defaultRowHeight="12.75" x14ac:dyDescent="0.2"/>
  <cols>
    <col min="1" max="1" width="3.5703125" style="58" customWidth="1"/>
    <col min="2" max="2" width="36.28515625" style="57" customWidth="1"/>
    <col min="3" max="3" width="10.85546875" style="57" bestFit="1" customWidth="1"/>
    <col min="4" max="256" width="11.42578125" style="57"/>
    <col min="257" max="257" width="3.5703125" style="57" customWidth="1"/>
    <col min="258" max="258" width="36.28515625" style="57" customWidth="1"/>
    <col min="259" max="259" width="10.85546875" style="57" bestFit="1" customWidth="1"/>
    <col min="260" max="512" width="11.42578125" style="57"/>
    <col min="513" max="513" width="3.5703125" style="57" customWidth="1"/>
    <col min="514" max="514" width="36.28515625" style="57" customWidth="1"/>
    <col min="515" max="515" width="10.85546875" style="57" bestFit="1" customWidth="1"/>
    <col min="516" max="768" width="11.42578125" style="57"/>
    <col min="769" max="769" width="3.5703125" style="57" customWidth="1"/>
    <col min="770" max="770" width="36.28515625" style="57" customWidth="1"/>
    <col min="771" max="771" width="10.85546875" style="57" bestFit="1" customWidth="1"/>
    <col min="772" max="1024" width="11.42578125" style="57"/>
    <col min="1025" max="1025" width="3.5703125" style="57" customWidth="1"/>
    <col min="1026" max="1026" width="36.28515625" style="57" customWidth="1"/>
    <col min="1027" max="1027" width="10.85546875" style="57" bestFit="1" customWidth="1"/>
    <col min="1028" max="1280" width="11.42578125" style="57"/>
    <col min="1281" max="1281" width="3.5703125" style="57" customWidth="1"/>
    <col min="1282" max="1282" width="36.28515625" style="57" customWidth="1"/>
    <col min="1283" max="1283" width="10.85546875" style="57" bestFit="1" customWidth="1"/>
    <col min="1284" max="1536" width="11.42578125" style="57"/>
    <col min="1537" max="1537" width="3.5703125" style="57" customWidth="1"/>
    <col min="1538" max="1538" width="36.28515625" style="57" customWidth="1"/>
    <col min="1539" max="1539" width="10.85546875" style="57" bestFit="1" customWidth="1"/>
    <col min="1540" max="1792" width="11.42578125" style="57"/>
    <col min="1793" max="1793" width="3.5703125" style="57" customWidth="1"/>
    <col min="1794" max="1794" width="36.28515625" style="57" customWidth="1"/>
    <col min="1795" max="1795" width="10.85546875" style="57" bestFit="1" customWidth="1"/>
    <col min="1796" max="2048" width="11.42578125" style="57"/>
    <col min="2049" max="2049" width="3.5703125" style="57" customWidth="1"/>
    <col min="2050" max="2050" width="36.28515625" style="57" customWidth="1"/>
    <col min="2051" max="2051" width="10.85546875" style="57" bestFit="1" customWidth="1"/>
    <col min="2052" max="2304" width="11.42578125" style="57"/>
    <col min="2305" max="2305" width="3.5703125" style="57" customWidth="1"/>
    <col min="2306" max="2306" width="36.28515625" style="57" customWidth="1"/>
    <col min="2307" max="2307" width="10.85546875" style="57" bestFit="1" customWidth="1"/>
    <col min="2308" max="2560" width="11.42578125" style="57"/>
    <col min="2561" max="2561" width="3.5703125" style="57" customWidth="1"/>
    <col min="2562" max="2562" width="36.28515625" style="57" customWidth="1"/>
    <col min="2563" max="2563" width="10.85546875" style="57" bestFit="1" customWidth="1"/>
    <col min="2564" max="2816" width="11.42578125" style="57"/>
    <col min="2817" max="2817" width="3.5703125" style="57" customWidth="1"/>
    <col min="2818" max="2818" width="36.28515625" style="57" customWidth="1"/>
    <col min="2819" max="2819" width="10.85546875" style="57" bestFit="1" customWidth="1"/>
    <col min="2820" max="3072" width="11.42578125" style="57"/>
    <col min="3073" max="3073" width="3.5703125" style="57" customWidth="1"/>
    <col min="3074" max="3074" width="36.28515625" style="57" customWidth="1"/>
    <col min="3075" max="3075" width="10.85546875" style="57" bestFit="1" customWidth="1"/>
    <col min="3076" max="3328" width="11.42578125" style="57"/>
    <col min="3329" max="3329" width="3.5703125" style="57" customWidth="1"/>
    <col min="3330" max="3330" width="36.28515625" style="57" customWidth="1"/>
    <col min="3331" max="3331" width="10.85546875" style="57" bestFit="1" customWidth="1"/>
    <col min="3332" max="3584" width="11.42578125" style="57"/>
    <col min="3585" max="3585" width="3.5703125" style="57" customWidth="1"/>
    <col min="3586" max="3586" width="36.28515625" style="57" customWidth="1"/>
    <col min="3587" max="3587" width="10.85546875" style="57" bestFit="1" customWidth="1"/>
    <col min="3588" max="3840" width="11.42578125" style="57"/>
    <col min="3841" max="3841" width="3.5703125" style="57" customWidth="1"/>
    <col min="3842" max="3842" width="36.28515625" style="57" customWidth="1"/>
    <col min="3843" max="3843" width="10.85546875" style="57" bestFit="1" customWidth="1"/>
    <col min="3844" max="4096" width="11.42578125" style="57"/>
    <col min="4097" max="4097" width="3.5703125" style="57" customWidth="1"/>
    <col min="4098" max="4098" width="36.28515625" style="57" customWidth="1"/>
    <col min="4099" max="4099" width="10.85546875" style="57" bestFit="1" customWidth="1"/>
    <col min="4100" max="4352" width="11.42578125" style="57"/>
    <col min="4353" max="4353" width="3.5703125" style="57" customWidth="1"/>
    <col min="4354" max="4354" width="36.28515625" style="57" customWidth="1"/>
    <col min="4355" max="4355" width="10.85546875" style="57" bestFit="1" customWidth="1"/>
    <col min="4356" max="4608" width="11.42578125" style="57"/>
    <col min="4609" max="4609" width="3.5703125" style="57" customWidth="1"/>
    <col min="4610" max="4610" width="36.28515625" style="57" customWidth="1"/>
    <col min="4611" max="4611" width="10.85546875" style="57" bestFit="1" customWidth="1"/>
    <col min="4612" max="4864" width="11.42578125" style="57"/>
    <col min="4865" max="4865" width="3.5703125" style="57" customWidth="1"/>
    <col min="4866" max="4866" width="36.28515625" style="57" customWidth="1"/>
    <col min="4867" max="4867" width="10.85546875" style="57" bestFit="1" customWidth="1"/>
    <col min="4868" max="5120" width="11.42578125" style="57"/>
    <col min="5121" max="5121" width="3.5703125" style="57" customWidth="1"/>
    <col min="5122" max="5122" width="36.28515625" style="57" customWidth="1"/>
    <col min="5123" max="5123" width="10.85546875" style="57" bestFit="1" customWidth="1"/>
    <col min="5124" max="5376" width="11.42578125" style="57"/>
    <col min="5377" max="5377" width="3.5703125" style="57" customWidth="1"/>
    <col min="5378" max="5378" width="36.28515625" style="57" customWidth="1"/>
    <col min="5379" max="5379" width="10.85546875" style="57" bestFit="1" customWidth="1"/>
    <col min="5380" max="5632" width="11.42578125" style="57"/>
    <col min="5633" max="5633" width="3.5703125" style="57" customWidth="1"/>
    <col min="5634" max="5634" width="36.28515625" style="57" customWidth="1"/>
    <col min="5635" max="5635" width="10.85546875" style="57" bestFit="1" customWidth="1"/>
    <col min="5636" max="5888" width="11.42578125" style="57"/>
    <col min="5889" max="5889" width="3.5703125" style="57" customWidth="1"/>
    <col min="5890" max="5890" width="36.28515625" style="57" customWidth="1"/>
    <col min="5891" max="5891" width="10.85546875" style="57" bestFit="1" customWidth="1"/>
    <col min="5892" max="6144" width="11.42578125" style="57"/>
    <col min="6145" max="6145" width="3.5703125" style="57" customWidth="1"/>
    <col min="6146" max="6146" width="36.28515625" style="57" customWidth="1"/>
    <col min="6147" max="6147" width="10.85546875" style="57" bestFit="1" customWidth="1"/>
    <col min="6148" max="6400" width="11.42578125" style="57"/>
    <col min="6401" max="6401" width="3.5703125" style="57" customWidth="1"/>
    <col min="6402" max="6402" width="36.28515625" style="57" customWidth="1"/>
    <col min="6403" max="6403" width="10.85546875" style="57" bestFit="1" customWidth="1"/>
    <col min="6404" max="6656" width="11.42578125" style="57"/>
    <col min="6657" max="6657" width="3.5703125" style="57" customWidth="1"/>
    <col min="6658" max="6658" width="36.28515625" style="57" customWidth="1"/>
    <col min="6659" max="6659" width="10.85546875" style="57" bestFit="1" customWidth="1"/>
    <col min="6660" max="6912" width="11.42578125" style="57"/>
    <col min="6913" max="6913" width="3.5703125" style="57" customWidth="1"/>
    <col min="6914" max="6914" width="36.28515625" style="57" customWidth="1"/>
    <col min="6915" max="6915" width="10.85546875" style="57" bestFit="1" customWidth="1"/>
    <col min="6916" max="7168" width="11.42578125" style="57"/>
    <col min="7169" max="7169" width="3.5703125" style="57" customWidth="1"/>
    <col min="7170" max="7170" width="36.28515625" style="57" customWidth="1"/>
    <col min="7171" max="7171" width="10.85546875" style="57" bestFit="1" customWidth="1"/>
    <col min="7172" max="7424" width="11.42578125" style="57"/>
    <col min="7425" max="7425" width="3.5703125" style="57" customWidth="1"/>
    <col min="7426" max="7426" width="36.28515625" style="57" customWidth="1"/>
    <col min="7427" max="7427" width="10.85546875" style="57" bestFit="1" customWidth="1"/>
    <col min="7428" max="7680" width="11.42578125" style="57"/>
    <col min="7681" max="7681" width="3.5703125" style="57" customWidth="1"/>
    <col min="7682" max="7682" width="36.28515625" style="57" customWidth="1"/>
    <col min="7683" max="7683" width="10.85546875" style="57" bestFit="1" customWidth="1"/>
    <col min="7684" max="7936" width="11.42578125" style="57"/>
    <col min="7937" max="7937" width="3.5703125" style="57" customWidth="1"/>
    <col min="7938" max="7938" width="36.28515625" style="57" customWidth="1"/>
    <col min="7939" max="7939" width="10.85546875" style="57" bestFit="1" customWidth="1"/>
    <col min="7940" max="8192" width="11.42578125" style="57"/>
    <col min="8193" max="8193" width="3.5703125" style="57" customWidth="1"/>
    <col min="8194" max="8194" width="36.28515625" style="57" customWidth="1"/>
    <col min="8195" max="8195" width="10.85546875" style="57" bestFit="1" customWidth="1"/>
    <col min="8196" max="8448" width="11.42578125" style="57"/>
    <col min="8449" max="8449" width="3.5703125" style="57" customWidth="1"/>
    <col min="8450" max="8450" width="36.28515625" style="57" customWidth="1"/>
    <col min="8451" max="8451" width="10.85546875" style="57" bestFit="1" customWidth="1"/>
    <col min="8452" max="8704" width="11.42578125" style="57"/>
    <col min="8705" max="8705" width="3.5703125" style="57" customWidth="1"/>
    <col min="8706" max="8706" width="36.28515625" style="57" customWidth="1"/>
    <col min="8707" max="8707" width="10.85546875" style="57" bestFit="1" customWidth="1"/>
    <col min="8708" max="8960" width="11.42578125" style="57"/>
    <col min="8961" max="8961" width="3.5703125" style="57" customWidth="1"/>
    <col min="8962" max="8962" width="36.28515625" style="57" customWidth="1"/>
    <col min="8963" max="8963" width="10.85546875" style="57" bestFit="1" customWidth="1"/>
    <col min="8964" max="9216" width="11.42578125" style="57"/>
    <col min="9217" max="9217" width="3.5703125" style="57" customWidth="1"/>
    <col min="9218" max="9218" width="36.28515625" style="57" customWidth="1"/>
    <col min="9219" max="9219" width="10.85546875" style="57" bestFit="1" customWidth="1"/>
    <col min="9220" max="9472" width="11.42578125" style="57"/>
    <col min="9473" max="9473" width="3.5703125" style="57" customWidth="1"/>
    <col min="9474" max="9474" width="36.28515625" style="57" customWidth="1"/>
    <col min="9475" max="9475" width="10.85546875" style="57" bestFit="1" customWidth="1"/>
    <col min="9476" max="9728" width="11.42578125" style="57"/>
    <col min="9729" max="9729" width="3.5703125" style="57" customWidth="1"/>
    <col min="9730" max="9730" width="36.28515625" style="57" customWidth="1"/>
    <col min="9731" max="9731" width="10.85546875" style="57" bestFit="1" customWidth="1"/>
    <col min="9732" max="9984" width="11.42578125" style="57"/>
    <col min="9985" max="9985" width="3.5703125" style="57" customWidth="1"/>
    <col min="9986" max="9986" width="36.28515625" style="57" customWidth="1"/>
    <col min="9987" max="9987" width="10.85546875" style="57" bestFit="1" customWidth="1"/>
    <col min="9988" max="10240" width="11.42578125" style="57"/>
    <col min="10241" max="10241" width="3.5703125" style="57" customWidth="1"/>
    <col min="10242" max="10242" width="36.28515625" style="57" customWidth="1"/>
    <col min="10243" max="10243" width="10.85546875" style="57" bestFit="1" customWidth="1"/>
    <col min="10244" max="10496" width="11.42578125" style="57"/>
    <col min="10497" max="10497" width="3.5703125" style="57" customWidth="1"/>
    <col min="10498" max="10498" width="36.28515625" style="57" customWidth="1"/>
    <col min="10499" max="10499" width="10.85546875" style="57" bestFit="1" customWidth="1"/>
    <col min="10500" max="10752" width="11.42578125" style="57"/>
    <col min="10753" max="10753" width="3.5703125" style="57" customWidth="1"/>
    <col min="10754" max="10754" width="36.28515625" style="57" customWidth="1"/>
    <col min="10755" max="10755" width="10.85546875" style="57" bestFit="1" customWidth="1"/>
    <col min="10756" max="11008" width="11.42578125" style="57"/>
    <col min="11009" max="11009" width="3.5703125" style="57" customWidth="1"/>
    <col min="11010" max="11010" width="36.28515625" style="57" customWidth="1"/>
    <col min="11011" max="11011" width="10.85546875" style="57" bestFit="1" customWidth="1"/>
    <col min="11012" max="11264" width="11.42578125" style="57"/>
    <col min="11265" max="11265" width="3.5703125" style="57" customWidth="1"/>
    <col min="11266" max="11266" width="36.28515625" style="57" customWidth="1"/>
    <col min="11267" max="11267" width="10.85546875" style="57" bestFit="1" customWidth="1"/>
    <col min="11268" max="11520" width="11.42578125" style="57"/>
    <col min="11521" max="11521" width="3.5703125" style="57" customWidth="1"/>
    <col min="11522" max="11522" width="36.28515625" style="57" customWidth="1"/>
    <col min="11523" max="11523" width="10.85546875" style="57" bestFit="1" customWidth="1"/>
    <col min="11524" max="11776" width="11.42578125" style="57"/>
    <col min="11777" max="11777" width="3.5703125" style="57" customWidth="1"/>
    <col min="11778" max="11778" width="36.28515625" style="57" customWidth="1"/>
    <col min="11779" max="11779" width="10.85546875" style="57" bestFit="1" customWidth="1"/>
    <col min="11780" max="12032" width="11.42578125" style="57"/>
    <col min="12033" max="12033" width="3.5703125" style="57" customWidth="1"/>
    <col min="12034" max="12034" width="36.28515625" style="57" customWidth="1"/>
    <col min="12035" max="12035" width="10.85546875" style="57" bestFit="1" customWidth="1"/>
    <col min="12036" max="12288" width="11.42578125" style="57"/>
    <col min="12289" max="12289" width="3.5703125" style="57" customWidth="1"/>
    <col min="12290" max="12290" width="36.28515625" style="57" customWidth="1"/>
    <col min="12291" max="12291" width="10.85546875" style="57" bestFit="1" customWidth="1"/>
    <col min="12292" max="12544" width="11.42578125" style="57"/>
    <col min="12545" max="12545" width="3.5703125" style="57" customWidth="1"/>
    <col min="12546" max="12546" width="36.28515625" style="57" customWidth="1"/>
    <col min="12547" max="12547" width="10.85546875" style="57" bestFit="1" customWidth="1"/>
    <col min="12548" max="12800" width="11.42578125" style="57"/>
    <col min="12801" max="12801" width="3.5703125" style="57" customWidth="1"/>
    <col min="12802" max="12802" width="36.28515625" style="57" customWidth="1"/>
    <col min="12803" max="12803" width="10.85546875" style="57" bestFit="1" customWidth="1"/>
    <col min="12804" max="13056" width="11.42578125" style="57"/>
    <col min="13057" max="13057" width="3.5703125" style="57" customWidth="1"/>
    <col min="13058" max="13058" width="36.28515625" style="57" customWidth="1"/>
    <col min="13059" max="13059" width="10.85546875" style="57" bestFit="1" customWidth="1"/>
    <col min="13060" max="13312" width="11.42578125" style="57"/>
    <col min="13313" max="13313" width="3.5703125" style="57" customWidth="1"/>
    <col min="13314" max="13314" width="36.28515625" style="57" customWidth="1"/>
    <col min="13315" max="13315" width="10.85546875" style="57" bestFit="1" customWidth="1"/>
    <col min="13316" max="13568" width="11.42578125" style="57"/>
    <col min="13569" max="13569" width="3.5703125" style="57" customWidth="1"/>
    <col min="13570" max="13570" width="36.28515625" style="57" customWidth="1"/>
    <col min="13571" max="13571" width="10.85546875" style="57" bestFit="1" customWidth="1"/>
    <col min="13572" max="13824" width="11.42578125" style="57"/>
    <col min="13825" max="13825" width="3.5703125" style="57" customWidth="1"/>
    <col min="13826" max="13826" width="36.28515625" style="57" customWidth="1"/>
    <col min="13827" max="13827" width="10.85546875" style="57" bestFit="1" customWidth="1"/>
    <col min="13828" max="14080" width="11.42578125" style="57"/>
    <col min="14081" max="14081" width="3.5703125" style="57" customWidth="1"/>
    <col min="14082" max="14082" width="36.28515625" style="57" customWidth="1"/>
    <col min="14083" max="14083" width="10.85546875" style="57" bestFit="1" customWidth="1"/>
    <col min="14084" max="14336" width="11.42578125" style="57"/>
    <col min="14337" max="14337" width="3.5703125" style="57" customWidth="1"/>
    <col min="14338" max="14338" width="36.28515625" style="57" customWidth="1"/>
    <col min="14339" max="14339" width="10.85546875" style="57" bestFit="1" customWidth="1"/>
    <col min="14340" max="14592" width="11.42578125" style="57"/>
    <col min="14593" max="14593" width="3.5703125" style="57" customWidth="1"/>
    <col min="14594" max="14594" width="36.28515625" style="57" customWidth="1"/>
    <col min="14595" max="14595" width="10.85546875" style="57" bestFit="1" customWidth="1"/>
    <col min="14596" max="14848" width="11.42578125" style="57"/>
    <col min="14849" max="14849" width="3.5703125" style="57" customWidth="1"/>
    <col min="14850" max="14850" width="36.28515625" style="57" customWidth="1"/>
    <col min="14851" max="14851" width="10.85546875" style="57" bestFit="1" customWidth="1"/>
    <col min="14852" max="15104" width="11.42578125" style="57"/>
    <col min="15105" max="15105" width="3.5703125" style="57" customWidth="1"/>
    <col min="15106" max="15106" width="36.28515625" style="57" customWidth="1"/>
    <col min="15107" max="15107" width="10.85546875" style="57" bestFit="1" customWidth="1"/>
    <col min="15108" max="15360" width="11.42578125" style="57"/>
    <col min="15361" max="15361" width="3.5703125" style="57" customWidth="1"/>
    <col min="15362" max="15362" width="36.28515625" style="57" customWidth="1"/>
    <col min="15363" max="15363" width="10.85546875" style="57" bestFit="1" customWidth="1"/>
    <col min="15364" max="15616" width="11.42578125" style="57"/>
    <col min="15617" max="15617" width="3.5703125" style="57" customWidth="1"/>
    <col min="15618" max="15618" width="36.28515625" style="57" customWidth="1"/>
    <col min="15619" max="15619" width="10.85546875" style="57" bestFit="1" customWidth="1"/>
    <col min="15620" max="15872" width="11.42578125" style="57"/>
    <col min="15873" max="15873" width="3.5703125" style="57" customWidth="1"/>
    <col min="15874" max="15874" width="36.28515625" style="57" customWidth="1"/>
    <col min="15875" max="15875" width="10.85546875" style="57" bestFit="1" customWidth="1"/>
    <col min="15876" max="16128" width="11.42578125" style="57"/>
    <col min="16129" max="16129" width="3.5703125" style="57" customWidth="1"/>
    <col min="16130" max="16130" width="36.28515625" style="57" customWidth="1"/>
    <col min="16131" max="16131" width="10.85546875" style="57" bestFit="1" customWidth="1"/>
    <col min="16132" max="16384" width="11.42578125" style="57"/>
  </cols>
  <sheetData>
    <row r="5" spans="1:3" ht="18.75" x14ac:dyDescent="0.3">
      <c r="A5" s="288" t="s">
        <v>360</v>
      </c>
      <c r="B5" s="280"/>
    </row>
    <row r="6" spans="1:3" x14ac:dyDescent="0.2">
      <c r="A6" s="56"/>
    </row>
    <row r="7" spans="1:3" x14ac:dyDescent="0.2">
      <c r="A7" s="56"/>
      <c r="B7" s="57" t="s">
        <v>359</v>
      </c>
    </row>
    <row r="8" spans="1:3" x14ac:dyDescent="0.2">
      <c r="B8" s="60" t="s">
        <v>19</v>
      </c>
    </row>
    <row r="9" spans="1:3" x14ac:dyDescent="0.2">
      <c r="B9" s="57" t="s">
        <v>158</v>
      </c>
      <c r="C9" s="95">
        <v>90000</v>
      </c>
    </row>
    <row r="10" spans="1:3" x14ac:dyDescent="0.2">
      <c r="B10" s="57" t="s">
        <v>159</v>
      </c>
      <c r="C10" s="59">
        <v>0.3</v>
      </c>
    </row>
    <row r="11" spans="1:3" x14ac:dyDescent="0.2">
      <c r="B11" s="57" t="s">
        <v>34</v>
      </c>
      <c r="C11" s="59">
        <v>0.25</v>
      </c>
    </row>
    <row r="13" spans="1:3" x14ac:dyDescent="0.2">
      <c r="B13" s="60" t="s">
        <v>160</v>
      </c>
    </row>
    <row r="14" spans="1:3" x14ac:dyDescent="0.2">
      <c r="B14" s="57" t="s">
        <v>161</v>
      </c>
      <c r="C14" s="95">
        <f>C9</f>
        <v>90000</v>
      </c>
    </row>
    <row r="15" spans="1:3" x14ac:dyDescent="0.2">
      <c r="B15" s="57" t="s">
        <v>162</v>
      </c>
      <c r="C15" s="96">
        <f>C14*C10</f>
        <v>27000</v>
      </c>
    </row>
    <row r="16" spans="1:3" ht="17.100000000000001" customHeight="1" x14ac:dyDescent="0.2">
      <c r="B16" s="97" t="s">
        <v>163</v>
      </c>
      <c r="C16" s="95">
        <f>C14-C15</f>
        <v>63000</v>
      </c>
    </row>
    <row r="17" spans="1:3" x14ac:dyDescent="0.2">
      <c r="B17" s="97" t="s">
        <v>164</v>
      </c>
      <c r="C17" s="96">
        <v>0</v>
      </c>
    </row>
    <row r="18" spans="1:3" ht="17.100000000000001" customHeight="1" x14ac:dyDescent="0.2">
      <c r="B18" s="97" t="s">
        <v>165</v>
      </c>
      <c r="C18" s="95">
        <f>SUM(C16:C17)</f>
        <v>63000</v>
      </c>
    </row>
    <row r="19" spans="1:3" x14ac:dyDescent="0.2">
      <c r="B19" s="97" t="s">
        <v>37</v>
      </c>
      <c r="C19" s="95">
        <f>C18*C11</f>
        <v>15750</v>
      </c>
    </row>
    <row r="20" spans="1:3" ht="17.100000000000001" customHeight="1" thickBot="1" x14ac:dyDescent="0.25">
      <c r="A20" s="58" t="s">
        <v>82</v>
      </c>
      <c r="B20" s="97" t="s">
        <v>166</v>
      </c>
      <c r="C20" s="100">
        <f>SUM(C18:C19)</f>
        <v>78750</v>
      </c>
    </row>
    <row r="21" spans="1:3" ht="13.5" thickTop="1" x14ac:dyDescent="0.2"/>
    <row r="22" spans="1:3" ht="13.5" thickBot="1" x14ac:dyDescent="0.25">
      <c r="A22" s="58" t="s">
        <v>84</v>
      </c>
      <c r="B22" s="57" t="s">
        <v>167</v>
      </c>
      <c r="C22" s="99">
        <f>C20</f>
        <v>78750</v>
      </c>
    </row>
    <row r="23" spans="1:3" ht="13.5" thickTop="1" x14ac:dyDescent="0.2">
      <c r="C23" s="101"/>
    </row>
    <row r="24" spans="1:3" x14ac:dyDescent="0.2">
      <c r="A24" s="58" t="s">
        <v>141</v>
      </c>
    </row>
    <row r="25" spans="1:3" x14ac:dyDescent="0.2">
      <c r="B25" s="57" t="s">
        <v>161</v>
      </c>
      <c r="C25" s="95">
        <f>C9</f>
        <v>90000</v>
      </c>
    </row>
    <row r="26" spans="1:3" x14ac:dyDescent="0.2">
      <c r="B26" s="57" t="s">
        <v>162</v>
      </c>
      <c r="C26" s="96">
        <f>C25*$C$10</f>
        <v>27000</v>
      </c>
    </row>
    <row r="27" spans="1:3" ht="17.100000000000001" customHeight="1" x14ac:dyDescent="0.2">
      <c r="B27" s="97" t="s">
        <v>163</v>
      </c>
      <c r="C27" s="95">
        <f>C25-C26</f>
        <v>63000</v>
      </c>
    </row>
    <row r="28" spans="1:3" x14ac:dyDescent="0.2">
      <c r="B28" s="97" t="s">
        <v>164</v>
      </c>
      <c r="C28" s="96">
        <v>10000</v>
      </c>
    </row>
    <row r="29" spans="1:3" ht="17.100000000000001" customHeight="1" x14ac:dyDescent="0.2">
      <c r="B29" s="97" t="s">
        <v>165</v>
      </c>
      <c r="C29" s="95">
        <f>SUM(C27:C28)</f>
        <v>73000</v>
      </c>
    </row>
    <row r="30" spans="1:3" x14ac:dyDescent="0.2">
      <c r="B30" s="97" t="s">
        <v>37</v>
      </c>
      <c r="C30" s="95">
        <f>C29*C11</f>
        <v>18250</v>
      </c>
    </row>
    <row r="31" spans="1:3" ht="17.100000000000001" customHeight="1" x14ac:dyDescent="0.2">
      <c r="B31" s="97" t="s">
        <v>166</v>
      </c>
      <c r="C31" s="98">
        <f>SUM(C29:C30)</f>
        <v>91250</v>
      </c>
    </row>
    <row r="33" spans="2:3" ht="13.5" thickBot="1" x14ac:dyDescent="0.25">
      <c r="B33" s="57" t="s">
        <v>167</v>
      </c>
      <c r="C33" s="99">
        <f>C31</f>
        <v>91250</v>
      </c>
    </row>
    <row r="34" spans="2:3" ht="13.5" thickTop="1" x14ac:dyDescent="0.2"/>
  </sheetData>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44"/>
  <sheetViews>
    <sheetView workbookViewId="0">
      <selection activeCell="B6" sqref="B6"/>
    </sheetView>
  </sheetViews>
  <sheetFormatPr baseColWidth="10" defaultRowHeight="12.75" x14ac:dyDescent="0.2"/>
  <cols>
    <col min="1" max="1" width="29.5703125" style="57" customWidth="1"/>
    <col min="2" max="7" width="12.7109375" style="57" customWidth="1"/>
    <col min="8" max="256" width="11.42578125" style="57"/>
    <col min="257" max="257" width="27" style="57" customWidth="1"/>
    <col min="258" max="263" width="12.7109375" style="57" customWidth="1"/>
    <col min="264" max="512" width="11.42578125" style="57"/>
    <col min="513" max="513" width="27" style="57" customWidth="1"/>
    <col min="514" max="519" width="12.7109375" style="57" customWidth="1"/>
    <col min="520" max="768" width="11.42578125" style="57"/>
    <col min="769" max="769" width="27" style="57" customWidth="1"/>
    <col min="770" max="775" width="12.7109375" style="57" customWidth="1"/>
    <col min="776" max="1024" width="11.42578125" style="57"/>
    <col min="1025" max="1025" width="27" style="57" customWidth="1"/>
    <col min="1026" max="1031" width="12.7109375" style="57" customWidth="1"/>
    <col min="1032" max="1280" width="11.42578125" style="57"/>
    <col min="1281" max="1281" width="27" style="57" customWidth="1"/>
    <col min="1282" max="1287" width="12.7109375" style="57" customWidth="1"/>
    <col min="1288" max="1536" width="11.42578125" style="57"/>
    <col min="1537" max="1537" width="27" style="57" customWidth="1"/>
    <col min="1538" max="1543" width="12.7109375" style="57" customWidth="1"/>
    <col min="1544" max="1792" width="11.42578125" style="57"/>
    <col min="1793" max="1793" width="27" style="57" customWidth="1"/>
    <col min="1794" max="1799" width="12.7109375" style="57" customWidth="1"/>
    <col min="1800" max="2048" width="11.42578125" style="57"/>
    <col min="2049" max="2049" width="27" style="57" customWidth="1"/>
    <col min="2050" max="2055" width="12.7109375" style="57" customWidth="1"/>
    <col min="2056" max="2304" width="11.42578125" style="57"/>
    <col min="2305" max="2305" width="27" style="57" customWidth="1"/>
    <col min="2306" max="2311" width="12.7109375" style="57" customWidth="1"/>
    <col min="2312" max="2560" width="11.42578125" style="57"/>
    <col min="2561" max="2561" width="27" style="57" customWidth="1"/>
    <col min="2562" max="2567" width="12.7109375" style="57" customWidth="1"/>
    <col min="2568" max="2816" width="11.42578125" style="57"/>
    <col min="2817" max="2817" width="27" style="57" customWidth="1"/>
    <col min="2818" max="2823" width="12.7109375" style="57" customWidth="1"/>
    <col min="2824" max="3072" width="11.42578125" style="57"/>
    <col min="3073" max="3073" width="27" style="57" customWidth="1"/>
    <col min="3074" max="3079" width="12.7109375" style="57" customWidth="1"/>
    <col min="3080" max="3328" width="11.42578125" style="57"/>
    <col min="3329" max="3329" width="27" style="57" customWidth="1"/>
    <col min="3330" max="3335" width="12.7109375" style="57" customWidth="1"/>
    <col min="3336" max="3584" width="11.42578125" style="57"/>
    <col min="3585" max="3585" width="27" style="57" customWidth="1"/>
    <col min="3586" max="3591" width="12.7109375" style="57" customWidth="1"/>
    <col min="3592" max="3840" width="11.42578125" style="57"/>
    <col min="3841" max="3841" width="27" style="57" customWidth="1"/>
    <col min="3842" max="3847" width="12.7109375" style="57" customWidth="1"/>
    <col min="3848" max="4096" width="11.42578125" style="57"/>
    <col min="4097" max="4097" width="27" style="57" customWidth="1"/>
    <col min="4098" max="4103" width="12.7109375" style="57" customWidth="1"/>
    <col min="4104" max="4352" width="11.42578125" style="57"/>
    <col min="4353" max="4353" width="27" style="57" customWidth="1"/>
    <col min="4354" max="4359" width="12.7109375" style="57" customWidth="1"/>
    <col min="4360" max="4608" width="11.42578125" style="57"/>
    <col min="4609" max="4609" width="27" style="57" customWidth="1"/>
    <col min="4610" max="4615" width="12.7109375" style="57" customWidth="1"/>
    <col min="4616" max="4864" width="11.42578125" style="57"/>
    <col min="4865" max="4865" width="27" style="57" customWidth="1"/>
    <col min="4866" max="4871" width="12.7109375" style="57" customWidth="1"/>
    <col min="4872" max="5120" width="11.42578125" style="57"/>
    <col min="5121" max="5121" width="27" style="57" customWidth="1"/>
    <col min="5122" max="5127" width="12.7109375" style="57" customWidth="1"/>
    <col min="5128" max="5376" width="11.42578125" style="57"/>
    <col min="5377" max="5377" width="27" style="57" customWidth="1"/>
    <col min="5378" max="5383" width="12.7109375" style="57" customWidth="1"/>
    <col min="5384" max="5632" width="11.42578125" style="57"/>
    <col min="5633" max="5633" width="27" style="57" customWidth="1"/>
    <col min="5634" max="5639" width="12.7109375" style="57" customWidth="1"/>
    <col min="5640" max="5888" width="11.42578125" style="57"/>
    <col min="5889" max="5889" width="27" style="57" customWidth="1"/>
    <col min="5890" max="5895" width="12.7109375" style="57" customWidth="1"/>
    <col min="5896" max="6144" width="11.42578125" style="57"/>
    <col min="6145" max="6145" width="27" style="57" customWidth="1"/>
    <col min="6146" max="6151" width="12.7109375" style="57" customWidth="1"/>
    <col min="6152" max="6400" width="11.42578125" style="57"/>
    <col min="6401" max="6401" width="27" style="57" customWidth="1"/>
    <col min="6402" max="6407" width="12.7109375" style="57" customWidth="1"/>
    <col min="6408" max="6656" width="11.42578125" style="57"/>
    <col min="6657" max="6657" width="27" style="57" customWidth="1"/>
    <col min="6658" max="6663" width="12.7109375" style="57" customWidth="1"/>
    <col min="6664" max="6912" width="11.42578125" style="57"/>
    <col min="6913" max="6913" width="27" style="57" customWidth="1"/>
    <col min="6914" max="6919" width="12.7109375" style="57" customWidth="1"/>
    <col min="6920" max="7168" width="11.42578125" style="57"/>
    <col min="7169" max="7169" width="27" style="57" customWidth="1"/>
    <col min="7170" max="7175" width="12.7109375" style="57" customWidth="1"/>
    <col min="7176" max="7424" width="11.42578125" style="57"/>
    <col min="7425" max="7425" width="27" style="57" customWidth="1"/>
    <col min="7426" max="7431" width="12.7109375" style="57" customWidth="1"/>
    <col min="7432" max="7680" width="11.42578125" style="57"/>
    <col min="7681" max="7681" width="27" style="57" customWidth="1"/>
    <col min="7682" max="7687" width="12.7109375" style="57" customWidth="1"/>
    <col min="7688" max="7936" width="11.42578125" style="57"/>
    <col min="7937" max="7937" width="27" style="57" customWidth="1"/>
    <col min="7938" max="7943" width="12.7109375" style="57" customWidth="1"/>
    <col min="7944" max="8192" width="11.42578125" style="57"/>
    <col min="8193" max="8193" width="27" style="57" customWidth="1"/>
    <col min="8194" max="8199" width="12.7109375" style="57" customWidth="1"/>
    <col min="8200" max="8448" width="11.42578125" style="57"/>
    <col min="8449" max="8449" width="27" style="57" customWidth="1"/>
    <col min="8450" max="8455" width="12.7109375" style="57" customWidth="1"/>
    <col min="8456" max="8704" width="11.42578125" style="57"/>
    <col min="8705" max="8705" width="27" style="57" customWidth="1"/>
    <col min="8706" max="8711" width="12.7109375" style="57" customWidth="1"/>
    <col min="8712" max="8960" width="11.42578125" style="57"/>
    <col min="8961" max="8961" width="27" style="57" customWidth="1"/>
    <col min="8962" max="8967" width="12.7109375" style="57" customWidth="1"/>
    <col min="8968" max="9216" width="11.42578125" style="57"/>
    <col min="9217" max="9217" width="27" style="57" customWidth="1"/>
    <col min="9218" max="9223" width="12.7109375" style="57" customWidth="1"/>
    <col min="9224" max="9472" width="11.42578125" style="57"/>
    <col min="9473" max="9473" width="27" style="57" customWidth="1"/>
    <col min="9474" max="9479" width="12.7109375" style="57" customWidth="1"/>
    <col min="9480" max="9728" width="11.42578125" style="57"/>
    <col min="9729" max="9729" width="27" style="57" customWidth="1"/>
    <col min="9730" max="9735" width="12.7109375" style="57" customWidth="1"/>
    <col min="9736" max="9984" width="11.42578125" style="57"/>
    <col min="9985" max="9985" width="27" style="57" customWidth="1"/>
    <col min="9986" max="9991" width="12.7109375" style="57" customWidth="1"/>
    <col min="9992" max="10240" width="11.42578125" style="57"/>
    <col min="10241" max="10241" width="27" style="57" customWidth="1"/>
    <col min="10242" max="10247" width="12.7109375" style="57" customWidth="1"/>
    <col min="10248" max="10496" width="11.42578125" style="57"/>
    <col min="10497" max="10497" width="27" style="57" customWidth="1"/>
    <col min="10498" max="10503" width="12.7109375" style="57" customWidth="1"/>
    <col min="10504" max="10752" width="11.42578125" style="57"/>
    <col min="10753" max="10753" width="27" style="57" customWidth="1"/>
    <col min="10754" max="10759" width="12.7109375" style="57" customWidth="1"/>
    <col min="10760" max="11008" width="11.42578125" style="57"/>
    <col min="11009" max="11009" width="27" style="57" customWidth="1"/>
    <col min="11010" max="11015" width="12.7109375" style="57" customWidth="1"/>
    <col min="11016" max="11264" width="11.42578125" style="57"/>
    <col min="11265" max="11265" width="27" style="57" customWidth="1"/>
    <col min="11266" max="11271" width="12.7109375" style="57" customWidth="1"/>
    <col min="11272" max="11520" width="11.42578125" style="57"/>
    <col min="11521" max="11521" width="27" style="57" customWidth="1"/>
    <col min="11522" max="11527" width="12.7109375" style="57" customWidth="1"/>
    <col min="11528" max="11776" width="11.42578125" style="57"/>
    <col min="11777" max="11777" width="27" style="57" customWidth="1"/>
    <col min="11778" max="11783" width="12.7109375" style="57" customWidth="1"/>
    <col min="11784" max="12032" width="11.42578125" style="57"/>
    <col min="12033" max="12033" width="27" style="57" customWidth="1"/>
    <col min="12034" max="12039" width="12.7109375" style="57" customWidth="1"/>
    <col min="12040" max="12288" width="11.42578125" style="57"/>
    <col min="12289" max="12289" width="27" style="57" customWidth="1"/>
    <col min="12290" max="12295" width="12.7109375" style="57" customWidth="1"/>
    <col min="12296" max="12544" width="11.42578125" style="57"/>
    <col min="12545" max="12545" width="27" style="57" customWidth="1"/>
    <col min="12546" max="12551" width="12.7109375" style="57" customWidth="1"/>
    <col min="12552" max="12800" width="11.42578125" style="57"/>
    <col min="12801" max="12801" width="27" style="57" customWidth="1"/>
    <col min="12802" max="12807" width="12.7109375" style="57" customWidth="1"/>
    <col min="12808" max="13056" width="11.42578125" style="57"/>
    <col min="13057" max="13057" width="27" style="57" customWidth="1"/>
    <col min="13058" max="13063" width="12.7109375" style="57" customWidth="1"/>
    <col min="13064" max="13312" width="11.42578125" style="57"/>
    <col min="13313" max="13313" width="27" style="57" customWidth="1"/>
    <col min="13314" max="13319" width="12.7109375" style="57" customWidth="1"/>
    <col min="13320" max="13568" width="11.42578125" style="57"/>
    <col min="13569" max="13569" width="27" style="57" customWidth="1"/>
    <col min="13570" max="13575" width="12.7109375" style="57" customWidth="1"/>
    <col min="13576" max="13824" width="11.42578125" style="57"/>
    <col min="13825" max="13825" width="27" style="57" customWidth="1"/>
    <col min="13826" max="13831" width="12.7109375" style="57" customWidth="1"/>
    <col min="13832" max="14080" width="11.42578125" style="57"/>
    <col min="14081" max="14081" width="27" style="57" customWidth="1"/>
    <col min="14082" max="14087" width="12.7109375" style="57" customWidth="1"/>
    <col min="14088" max="14336" width="11.42578125" style="57"/>
    <col min="14337" max="14337" width="27" style="57" customWidth="1"/>
    <col min="14338" max="14343" width="12.7109375" style="57" customWidth="1"/>
    <col min="14344" max="14592" width="11.42578125" style="57"/>
    <col min="14593" max="14593" width="27" style="57" customWidth="1"/>
    <col min="14594" max="14599" width="12.7109375" style="57" customWidth="1"/>
    <col min="14600" max="14848" width="11.42578125" style="57"/>
    <col min="14849" max="14849" width="27" style="57" customWidth="1"/>
    <col min="14850" max="14855" width="12.7109375" style="57" customWidth="1"/>
    <col min="14856" max="15104" width="11.42578125" style="57"/>
    <col min="15105" max="15105" width="27" style="57" customWidth="1"/>
    <col min="15106" max="15111" width="12.7109375" style="57" customWidth="1"/>
    <col min="15112" max="15360" width="11.42578125" style="57"/>
    <col min="15361" max="15361" width="27" style="57" customWidth="1"/>
    <col min="15362" max="15367" width="12.7109375" style="57" customWidth="1"/>
    <col min="15368" max="15616" width="11.42578125" style="57"/>
    <col min="15617" max="15617" width="27" style="57" customWidth="1"/>
    <col min="15618" max="15623" width="12.7109375" style="57" customWidth="1"/>
    <col min="15624" max="15872" width="11.42578125" style="57"/>
    <col min="15873" max="15873" width="27" style="57" customWidth="1"/>
    <col min="15874" max="15879" width="12.7109375" style="57" customWidth="1"/>
    <col min="15880" max="16128" width="11.42578125" style="57"/>
    <col min="16129" max="16129" width="27" style="57" customWidth="1"/>
    <col min="16130" max="16135" width="12.7109375" style="57" customWidth="1"/>
    <col min="16136" max="16384" width="11.42578125" style="57"/>
  </cols>
  <sheetData>
    <row r="5" spans="1:7" ht="18.75" x14ac:dyDescent="0.3">
      <c r="A5" s="289" t="s">
        <v>361</v>
      </c>
    </row>
    <row r="6" spans="1:7" s="58" customFormat="1" x14ac:dyDescent="0.2"/>
    <row r="7" spans="1:7" s="127" customFormat="1" x14ac:dyDescent="0.2">
      <c r="A7" s="56" t="s">
        <v>188</v>
      </c>
      <c r="C7" s="127" t="s">
        <v>129</v>
      </c>
      <c r="D7" s="127" t="s">
        <v>130</v>
      </c>
      <c r="E7" s="128" t="s">
        <v>131</v>
      </c>
      <c r="F7" s="127" t="s">
        <v>35</v>
      </c>
    </row>
    <row r="8" spans="1:7" x14ac:dyDescent="0.2">
      <c r="A8" s="57" t="s">
        <v>189</v>
      </c>
      <c r="C8" s="129">
        <v>200000</v>
      </c>
      <c r="D8" s="129">
        <v>220000</v>
      </c>
      <c r="E8" s="129">
        <v>250000</v>
      </c>
      <c r="F8" s="129">
        <v>210000</v>
      </c>
    </row>
    <row r="9" spans="1:7" x14ac:dyDescent="0.2">
      <c r="A9" s="130" t="s">
        <v>37</v>
      </c>
      <c r="B9" s="131">
        <v>0.25</v>
      </c>
      <c r="C9" s="132">
        <f>C8*$B$9</f>
        <v>50000</v>
      </c>
      <c r="D9" s="132">
        <f>D8*$B$9</f>
        <v>55000</v>
      </c>
      <c r="E9" s="132">
        <f>E8*$B$9</f>
        <v>62500</v>
      </c>
      <c r="F9" s="132">
        <f>F8*$B$9</f>
        <v>52500</v>
      </c>
    </row>
    <row r="10" spans="1:7" ht="15.95" customHeight="1" x14ac:dyDescent="0.2">
      <c r="A10" s="57" t="s">
        <v>39</v>
      </c>
      <c r="C10" s="133">
        <f>SUM(C8:C9)</f>
        <v>250000</v>
      </c>
      <c r="D10" s="133">
        <f>SUM(D8:D9)</f>
        <v>275000</v>
      </c>
      <c r="E10" s="133">
        <f>SUM(E8:E9)</f>
        <v>312500</v>
      </c>
      <c r="F10" s="133">
        <f>SUM(F8:F9)</f>
        <v>262500</v>
      </c>
    </row>
    <row r="11" spans="1:7" ht="12.75" customHeight="1" x14ac:dyDescent="0.2">
      <c r="C11" s="134"/>
      <c r="D11" s="134"/>
      <c r="E11" s="134"/>
      <c r="F11" s="134"/>
    </row>
    <row r="12" spans="1:7" ht="12.75" customHeight="1" x14ac:dyDescent="0.2">
      <c r="A12" s="57" t="s">
        <v>42</v>
      </c>
      <c r="B12" s="131">
        <v>0.3</v>
      </c>
      <c r="C12" s="134"/>
      <c r="D12" s="134"/>
      <c r="E12" s="134"/>
      <c r="F12" s="134"/>
    </row>
    <row r="13" spans="1:7" x14ac:dyDescent="0.2">
      <c r="C13" s="134"/>
      <c r="D13" s="134"/>
      <c r="E13" s="134"/>
      <c r="F13" s="134"/>
      <c r="G13" s="135"/>
    </row>
    <row r="14" spans="1:7" s="58" customFormat="1" x14ac:dyDescent="0.2">
      <c r="A14" s="56" t="s">
        <v>190</v>
      </c>
      <c r="B14" s="136" t="s">
        <v>178</v>
      </c>
      <c r="C14" s="311" t="s">
        <v>44</v>
      </c>
      <c r="D14" s="312"/>
      <c r="E14" s="312"/>
      <c r="F14" s="312"/>
      <c r="G14" s="313"/>
    </row>
    <row r="15" spans="1:7" s="127" customFormat="1" x14ac:dyDescent="0.2">
      <c r="A15" s="137"/>
      <c r="B15" s="138" t="s">
        <v>191</v>
      </c>
      <c r="C15" s="139" t="s">
        <v>129</v>
      </c>
      <c r="D15" s="139" t="s">
        <v>130</v>
      </c>
      <c r="E15" s="139" t="s">
        <v>131</v>
      </c>
      <c r="F15" s="140" t="s">
        <v>35</v>
      </c>
      <c r="G15" s="141" t="s">
        <v>45</v>
      </c>
    </row>
    <row r="16" spans="1:7" x14ac:dyDescent="0.2">
      <c r="A16" s="57" t="s">
        <v>192</v>
      </c>
      <c r="B16" s="142">
        <v>105000</v>
      </c>
      <c r="C16" s="142">
        <f>B16</f>
        <v>105000</v>
      </c>
      <c r="D16" s="142"/>
      <c r="E16" s="142"/>
      <c r="F16" s="143"/>
      <c r="G16" s="144"/>
    </row>
    <row r="17" spans="1:7" x14ac:dyDescent="0.2">
      <c r="A17" s="57" t="s">
        <v>129</v>
      </c>
      <c r="B17" s="144">
        <f>C10*(1-B12)</f>
        <v>175000</v>
      </c>
      <c r="C17" s="144">
        <f>B17/2</f>
        <v>87500</v>
      </c>
      <c r="D17" s="144">
        <f>B17/2</f>
        <v>87500</v>
      </c>
      <c r="E17" s="144"/>
      <c r="F17" s="145"/>
      <c r="G17" s="144"/>
    </row>
    <row r="18" spans="1:7" x14ac:dyDescent="0.2">
      <c r="A18" s="57" t="s">
        <v>130</v>
      </c>
      <c r="B18" s="144">
        <f>D10*(1-B12)</f>
        <v>192500</v>
      </c>
      <c r="C18" s="144"/>
      <c r="D18" s="144">
        <f>B18/2</f>
        <v>96250</v>
      </c>
      <c r="E18" s="144">
        <f>B18/2</f>
        <v>96250</v>
      </c>
      <c r="F18" s="145"/>
      <c r="G18" s="144"/>
    </row>
    <row r="19" spans="1:7" x14ac:dyDescent="0.2">
      <c r="A19" s="57" t="s">
        <v>131</v>
      </c>
      <c r="B19" s="144">
        <f>E10*(1-B12)</f>
        <v>218750</v>
      </c>
      <c r="C19" s="144"/>
      <c r="D19" s="144"/>
      <c r="E19" s="144">
        <f>B19/2</f>
        <v>109375</v>
      </c>
      <c r="F19" s="144">
        <f>B19/2</f>
        <v>109375</v>
      </c>
      <c r="G19" s="144"/>
    </row>
    <row r="20" spans="1:7" x14ac:dyDescent="0.2">
      <c r="A20" s="57" t="s">
        <v>35</v>
      </c>
      <c r="B20" s="146">
        <f>F10*(1-B12)</f>
        <v>183750</v>
      </c>
      <c r="C20" s="146"/>
      <c r="D20" s="146"/>
      <c r="E20" s="146"/>
      <c r="F20" s="146">
        <f>B20/2</f>
        <v>91875</v>
      </c>
      <c r="G20" s="146">
        <f>B20/2</f>
        <v>91875</v>
      </c>
    </row>
    <row r="21" spans="1:7" ht="15.95" customHeight="1" x14ac:dyDescent="0.2">
      <c r="A21" s="57" t="s">
        <v>193</v>
      </c>
      <c r="B21" s="134"/>
      <c r="C21" s="142">
        <f>SUM(C16:C20)</f>
        <v>192500</v>
      </c>
      <c r="D21" s="142">
        <f>SUM(D16:D20)</f>
        <v>183750</v>
      </c>
      <c r="E21" s="142">
        <f>SUM(E16:E20)</f>
        <v>205625</v>
      </c>
      <c r="F21" s="142">
        <f>SUM(F16:F20)</f>
        <v>201250</v>
      </c>
      <c r="G21" s="142">
        <f>SUM(G16:G20)</f>
        <v>91875</v>
      </c>
    </row>
    <row r="22" spans="1:7" x14ac:dyDescent="0.2">
      <c r="A22" s="57" t="s">
        <v>194</v>
      </c>
      <c r="B22" s="134"/>
      <c r="C22" s="146">
        <f>C10*B12</f>
        <v>75000</v>
      </c>
      <c r="D22" s="146">
        <f>D10*B12</f>
        <v>82500</v>
      </c>
      <c r="E22" s="146">
        <f>E10*B12</f>
        <v>93750</v>
      </c>
      <c r="F22" s="144">
        <f>F10*B12</f>
        <v>78750</v>
      </c>
      <c r="G22" s="144"/>
    </row>
    <row r="23" spans="1:7" ht="15.95" customHeight="1" x14ac:dyDescent="0.2">
      <c r="A23" s="57" t="s">
        <v>195</v>
      </c>
      <c r="B23" s="134"/>
      <c r="C23" s="147">
        <f>SUM(C21:C22)</f>
        <v>267500</v>
      </c>
      <c r="D23" s="147">
        <f>SUM(D21:D22)</f>
        <v>266250</v>
      </c>
      <c r="E23" s="147">
        <f>SUM(E21:E22)</f>
        <v>299375</v>
      </c>
      <c r="F23" s="147">
        <f>SUM(F21:F22)</f>
        <v>280000</v>
      </c>
      <c r="G23" s="147">
        <f>SUM(G21:G22)</f>
        <v>91875</v>
      </c>
    </row>
    <row r="25" spans="1:7" s="58" customFormat="1" x14ac:dyDescent="0.2">
      <c r="A25" s="56" t="s">
        <v>196</v>
      </c>
    </row>
    <row r="26" spans="1:7" s="58" customFormat="1" x14ac:dyDescent="0.2">
      <c r="C26" s="127" t="s">
        <v>129</v>
      </c>
      <c r="D26" s="127" t="s">
        <v>130</v>
      </c>
      <c r="E26" s="128" t="s">
        <v>131</v>
      </c>
      <c r="F26" s="127" t="s">
        <v>35</v>
      </c>
      <c r="G26" s="127" t="s">
        <v>45</v>
      </c>
    </row>
    <row r="27" spans="1:7" s="148" customFormat="1" x14ac:dyDescent="0.2">
      <c r="A27" s="148" t="s">
        <v>161</v>
      </c>
      <c r="C27" s="149">
        <f>C8</f>
        <v>200000</v>
      </c>
      <c r="D27" s="149">
        <f>D8</f>
        <v>220000</v>
      </c>
      <c r="E27" s="150">
        <f>E8</f>
        <v>250000</v>
      </c>
      <c r="F27" s="151">
        <f>F8</f>
        <v>210000</v>
      </c>
    </row>
    <row r="28" spans="1:7" s="148" customFormat="1" x14ac:dyDescent="0.2">
      <c r="A28" s="148" t="s">
        <v>162</v>
      </c>
      <c r="B28" s="152">
        <v>0.34</v>
      </c>
      <c r="C28" s="153">
        <f>C27*$B$28</f>
        <v>68000</v>
      </c>
      <c r="D28" s="153">
        <f>D27*$B$28</f>
        <v>74800</v>
      </c>
      <c r="E28" s="153">
        <f>E27*$B$28</f>
        <v>85000</v>
      </c>
      <c r="F28" s="153">
        <f>F27*$B$28</f>
        <v>71400</v>
      </c>
    </row>
    <row r="29" spans="1:7" x14ac:dyDescent="0.2">
      <c r="A29" s="57" t="s">
        <v>6</v>
      </c>
      <c r="C29" s="129">
        <f>C27-C28</f>
        <v>132000</v>
      </c>
      <c r="D29" s="129">
        <f>D27-D28</f>
        <v>145200</v>
      </c>
      <c r="E29" s="129">
        <f>E27-E28</f>
        <v>165000</v>
      </c>
      <c r="F29" s="129">
        <f>F27-F28</f>
        <v>138600</v>
      </c>
    </row>
    <row r="30" spans="1:7" x14ac:dyDescent="0.2">
      <c r="A30" s="130" t="s">
        <v>164</v>
      </c>
      <c r="C30" s="132">
        <v>-10000</v>
      </c>
      <c r="D30" s="132">
        <v>-10000</v>
      </c>
      <c r="E30" s="132">
        <v>-10000</v>
      </c>
      <c r="F30" s="154">
        <v>-10000</v>
      </c>
    </row>
    <row r="31" spans="1:7" x14ac:dyDescent="0.2">
      <c r="A31" s="57" t="s">
        <v>47</v>
      </c>
      <c r="C31" s="129">
        <f>SUM(C29:C30)</f>
        <v>122000</v>
      </c>
      <c r="D31" s="129">
        <f>SUM(D29:D30)</f>
        <v>135200</v>
      </c>
      <c r="E31" s="129">
        <f>SUM(E29:E30)</f>
        <v>155000</v>
      </c>
      <c r="F31" s="129">
        <f>SUM(F29:F30)</f>
        <v>128600</v>
      </c>
    </row>
    <row r="32" spans="1:7" x14ac:dyDescent="0.2">
      <c r="A32" s="130" t="s">
        <v>37</v>
      </c>
      <c r="B32" s="131">
        <v>0.25</v>
      </c>
      <c r="C32" s="132">
        <f>C31*$B$32</f>
        <v>30500</v>
      </c>
      <c r="D32" s="132">
        <f>D31*$B$32</f>
        <v>33800</v>
      </c>
      <c r="E32" s="132">
        <f>E31*$B$32</f>
        <v>38750</v>
      </c>
      <c r="F32" s="132">
        <f>F31*$B$32</f>
        <v>32150</v>
      </c>
    </row>
    <row r="33" spans="1:7" x14ac:dyDescent="0.2">
      <c r="A33" s="57" t="s">
        <v>48</v>
      </c>
      <c r="C33" s="133">
        <f>SUM(C31:C32)</f>
        <v>152500</v>
      </c>
      <c r="D33" s="133">
        <f>SUM(D31:D32)</f>
        <v>169000</v>
      </c>
      <c r="E33" s="133">
        <f>SUM(E31:E32)</f>
        <v>193750</v>
      </c>
      <c r="F33" s="133">
        <f>SUM(F31:F32)</f>
        <v>160750</v>
      </c>
    </row>
    <row r="35" spans="1:7" x14ac:dyDescent="0.2">
      <c r="A35" s="57" t="s">
        <v>49</v>
      </c>
      <c r="C35" s="132">
        <v>190000</v>
      </c>
      <c r="D35" s="132">
        <f>C33</f>
        <v>152500</v>
      </c>
      <c r="E35" s="132">
        <f>D33</f>
        <v>169000</v>
      </c>
      <c r="F35" s="132">
        <f>E33</f>
        <v>193750</v>
      </c>
      <c r="G35" s="135">
        <v>160750</v>
      </c>
    </row>
    <row r="36" spans="1:7" s="58" customFormat="1" x14ac:dyDescent="0.2"/>
    <row r="37" spans="1:7" x14ac:dyDescent="0.2">
      <c r="A37" s="58" t="s">
        <v>197</v>
      </c>
    </row>
    <row r="38" spans="1:7" x14ac:dyDescent="0.2">
      <c r="C38" s="127" t="s">
        <v>198</v>
      </c>
    </row>
    <row r="39" spans="1:7" x14ac:dyDescent="0.2">
      <c r="A39" s="57" t="s">
        <v>199</v>
      </c>
      <c r="C39" s="129">
        <f>SUM(C8:F8)</f>
        <v>880000</v>
      </c>
    </row>
    <row r="40" spans="1:7" x14ac:dyDescent="0.2">
      <c r="A40" s="57" t="s">
        <v>200</v>
      </c>
      <c r="C40" s="132">
        <f>SUM(C29:F29)</f>
        <v>580800</v>
      </c>
    </row>
    <row r="41" spans="1:7" x14ac:dyDescent="0.2">
      <c r="A41" s="130" t="s">
        <v>201</v>
      </c>
      <c r="C41" s="129">
        <f>C39-C40</f>
        <v>299200</v>
      </c>
    </row>
    <row r="42" spans="1:7" x14ac:dyDescent="0.2">
      <c r="A42" s="57" t="s">
        <v>202</v>
      </c>
      <c r="C42" s="132">
        <v>280000</v>
      </c>
    </row>
    <row r="43" spans="1:7" ht="13.5" thickBot="1" x14ac:dyDescent="0.25">
      <c r="A43" s="130" t="s">
        <v>203</v>
      </c>
      <c r="C43" s="155">
        <f>C41-C42</f>
        <v>19200</v>
      </c>
    </row>
    <row r="44" spans="1:7" ht="13.5" thickTop="1" x14ac:dyDescent="0.2"/>
  </sheetData>
  <mergeCells count="1">
    <mergeCell ref="C14:G14"/>
  </mergeCells>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28"/>
  <sheetViews>
    <sheetView workbookViewId="0">
      <selection activeCell="D5" sqref="D5"/>
    </sheetView>
  </sheetViews>
  <sheetFormatPr baseColWidth="10" defaultRowHeight="15" x14ac:dyDescent="0.25"/>
  <cols>
    <col min="1" max="1" width="31.85546875" customWidth="1"/>
  </cols>
  <sheetData>
    <row r="5" spans="1:3" ht="18.75" x14ac:dyDescent="0.3">
      <c r="A5" s="278" t="s">
        <v>362</v>
      </c>
    </row>
    <row r="7" spans="1:3" x14ac:dyDescent="0.25">
      <c r="A7" s="290" t="s">
        <v>216</v>
      </c>
    </row>
    <row r="9" spans="1:3" x14ac:dyDescent="0.25">
      <c r="A9" s="156"/>
      <c r="B9" s="156" t="s">
        <v>215</v>
      </c>
      <c r="C9" s="156" t="s">
        <v>214</v>
      </c>
    </row>
    <row r="10" spans="1:3" x14ac:dyDescent="0.25">
      <c r="A10" s="156" t="s">
        <v>213</v>
      </c>
      <c r="B10" s="12">
        <v>20000</v>
      </c>
      <c r="C10" s="156"/>
    </row>
    <row r="11" spans="1:3" x14ac:dyDescent="0.25">
      <c r="A11" s="156" t="s">
        <v>212</v>
      </c>
      <c r="B11" s="12">
        <v>50000</v>
      </c>
      <c r="C11" s="156"/>
    </row>
    <row r="12" spans="1:3" x14ac:dyDescent="0.25">
      <c r="A12" s="156" t="s">
        <v>211</v>
      </c>
      <c r="B12" s="156"/>
      <c r="C12" s="12">
        <v>250000</v>
      </c>
    </row>
    <row r="14" spans="1:3" x14ac:dyDescent="0.25">
      <c r="A14" t="s">
        <v>210</v>
      </c>
    </row>
    <row r="15" spans="1:3" x14ac:dyDescent="0.25">
      <c r="A15" t="s">
        <v>82</v>
      </c>
    </row>
    <row r="16" spans="1:3" x14ac:dyDescent="0.25">
      <c r="A16" t="s">
        <v>209</v>
      </c>
      <c r="B16" s="2">
        <f>B10</f>
        <v>20000</v>
      </c>
    </row>
    <row r="17" spans="1:2" x14ac:dyDescent="0.25">
      <c r="A17" t="s">
        <v>208</v>
      </c>
      <c r="B17" s="3">
        <f>B11</f>
        <v>50000</v>
      </c>
    </row>
    <row r="18" spans="1:2" ht="15.75" thickBot="1" x14ac:dyDescent="0.3">
      <c r="A18" s="277" t="s">
        <v>363</v>
      </c>
      <c r="B18" s="4">
        <f>B16+B17</f>
        <v>70000</v>
      </c>
    </row>
    <row r="19" spans="1:2" ht="15.75" thickTop="1" x14ac:dyDescent="0.25"/>
    <row r="20" spans="1:2" x14ac:dyDescent="0.25">
      <c r="A20" t="s">
        <v>84</v>
      </c>
    </row>
    <row r="21" spans="1:2" x14ac:dyDescent="0.25">
      <c r="A21" t="s">
        <v>207</v>
      </c>
      <c r="B21" s="2">
        <v>400000</v>
      </c>
    </row>
    <row r="22" spans="1:2" x14ac:dyDescent="0.25">
      <c r="A22" t="s">
        <v>206</v>
      </c>
      <c r="B22" s="3">
        <f>C12</f>
        <v>250000</v>
      </c>
    </row>
    <row r="23" spans="1:2" x14ac:dyDescent="0.25">
      <c r="A23" s="277" t="s">
        <v>364</v>
      </c>
      <c r="B23" s="8">
        <f>B21-B22</f>
        <v>150000</v>
      </c>
    </row>
    <row r="25" spans="1:2" x14ac:dyDescent="0.25">
      <c r="A25" t="s">
        <v>205</v>
      </c>
      <c r="B25" s="2">
        <f>B18</f>
        <v>70000</v>
      </c>
    </row>
    <row r="26" spans="1:2" x14ac:dyDescent="0.25">
      <c r="A26" t="s">
        <v>204</v>
      </c>
      <c r="B26" s="3">
        <f>B23</f>
        <v>150000</v>
      </c>
    </row>
    <row r="27" spans="1:2" ht="15.75" thickBot="1" x14ac:dyDescent="0.3">
      <c r="A27" s="277" t="s">
        <v>365</v>
      </c>
      <c r="B27" s="4">
        <f>B25+B26</f>
        <v>220000</v>
      </c>
    </row>
    <row r="28" spans="1:2" ht="15.75" thickTop="1"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29"/>
  <sheetViews>
    <sheetView workbookViewId="0"/>
  </sheetViews>
  <sheetFormatPr baseColWidth="10" defaultRowHeight="15" x14ac:dyDescent="0.25"/>
  <cols>
    <col min="1" max="1" width="34" customWidth="1"/>
    <col min="6" max="6" width="13" customWidth="1"/>
  </cols>
  <sheetData>
    <row r="5" spans="1:6" ht="18.75" x14ac:dyDescent="0.3">
      <c r="A5" s="278" t="s">
        <v>367</v>
      </c>
    </row>
    <row r="7" spans="1:6" x14ac:dyDescent="0.25">
      <c r="A7" t="s">
        <v>366</v>
      </c>
    </row>
    <row r="8" spans="1:6" x14ac:dyDescent="0.25">
      <c r="A8" s="22" t="s">
        <v>19</v>
      </c>
    </row>
    <row r="9" spans="1:6" x14ac:dyDescent="0.25">
      <c r="A9" s="102" t="s">
        <v>217</v>
      </c>
      <c r="B9">
        <v>200</v>
      </c>
    </row>
    <row r="10" spans="1:6" x14ac:dyDescent="0.25">
      <c r="A10" t="s">
        <v>218</v>
      </c>
      <c r="B10">
        <v>50</v>
      </c>
      <c r="C10" t="s">
        <v>219</v>
      </c>
    </row>
    <row r="11" spans="1:6" x14ac:dyDescent="0.25">
      <c r="A11" t="s">
        <v>220</v>
      </c>
      <c r="B11">
        <v>80</v>
      </c>
    </row>
    <row r="13" spans="1:6" x14ac:dyDescent="0.25">
      <c r="A13" t="s">
        <v>221</v>
      </c>
      <c r="B13" s="157" t="s">
        <v>139</v>
      </c>
      <c r="C13" s="157" t="s">
        <v>168</v>
      </c>
      <c r="D13" s="157" t="s">
        <v>169</v>
      </c>
      <c r="E13" s="157" t="s">
        <v>170</v>
      </c>
      <c r="F13" s="157" t="s">
        <v>222</v>
      </c>
    </row>
    <row r="14" spans="1:6" x14ac:dyDescent="0.25">
      <c r="A14" s="22" t="s">
        <v>51</v>
      </c>
      <c r="B14" s="156"/>
      <c r="C14" s="156"/>
      <c r="D14" s="156"/>
      <c r="E14" s="156"/>
      <c r="F14" s="156"/>
    </row>
    <row r="15" spans="1:6" x14ac:dyDescent="0.25">
      <c r="A15" t="s">
        <v>223</v>
      </c>
      <c r="B15" s="156">
        <f>5*B9</f>
        <v>1000</v>
      </c>
      <c r="C15" s="156">
        <f>7*B9</f>
        <v>1400</v>
      </c>
      <c r="D15" s="156">
        <f>6*B9</f>
        <v>1200</v>
      </c>
      <c r="E15" s="156">
        <f>2*B9</f>
        <v>400</v>
      </c>
      <c r="F15" s="156">
        <f>SUM(B15:E15)</f>
        <v>4000</v>
      </c>
    </row>
    <row r="16" spans="1:6" ht="15.75" thickBot="1" x14ac:dyDescent="0.3">
      <c r="A16" t="s">
        <v>224</v>
      </c>
      <c r="B16" s="158"/>
      <c r="C16" s="158">
        <f>8*B11</f>
        <v>640</v>
      </c>
      <c r="D16" s="158">
        <f>22*B11</f>
        <v>1760</v>
      </c>
      <c r="E16" s="158">
        <f>50*B11</f>
        <v>4000</v>
      </c>
      <c r="F16" s="158">
        <f t="shared" ref="F16:F17" si="0">SUM(B16:E16)</f>
        <v>6400</v>
      </c>
    </row>
    <row r="17" spans="1:6" ht="15.75" thickBot="1" x14ac:dyDescent="0.3">
      <c r="A17" t="s">
        <v>52</v>
      </c>
      <c r="B17" s="159">
        <f>SUM(B15:B16)</f>
        <v>1000</v>
      </c>
      <c r="C17" s="159">
        <f t="shared" ref="C17:E17" si="1">SUM(C15:C16)</f>
        <v>2040</v>
      </c>
      <c r="D17" s="159">
        <f t="shared" si="1"/>
        <v>2960</v>
      </c>
      <c r="E17" s="159">
        <f t="shared" si="1"/>
        <v>4400</v>
      </c>
      <c r="F17" s="159">
        <f t="shared" si="0"/>
        <v>10400</v>
      </c>
    </row>
    <row r="18" spans="1:6" x14ac:dyDescent="0.25">
      <c r="A18" s="22" t="s">
        <v>53</v>
      </c>
      <c r="B18" s="17"/>
      <c r="C18" s="17"/>
      <c r="D18" s="17"/>
      <c r="E18" s="17"/>
      <c r="F18" s="17"/>
    </row>
    <row r="19" spans="1:6" x14ac:dyDescent="0.25">
      <c r="A19" t="s">
        <v>225</v>
      </c>
      <c r="B19" s="156">
        <v>250</v>
      </c>
      <c r="C19" s="156"/>
      <c r="D19" s="156"/>
      <c r="E19" s="156"/>
      <c r="F19" s="156">
        <f>SUM(B19:E19)</f>
        <v>250</v>
      </c>
    </row>
    <row r="20" spans="1:6" x14ac:dyDescent="0.25">
      <c r="A20" t="s">
        <v>226</v>
      </c>
      <c r="B20" s="156">
        <v>300</v>
      </c>
      <c r="C20" s="156"/>
      <c r="D20" s="156"/>
      <c r="E20" s="156"/>
      <c r="F20" s="156">
        <f t="shared" ref="F20:F25" si="2">SUM(B20:E20)</f>
        <v>300</v>
      </c>
    </row>
    <row r="21" spans="1:6" x14ac:dyDescent="0.25">
      <c r="A21" t="s">
        <v>227</v>
      </c>
      <c r="B21" s="156"/>
      <c r="C21" s="156">
        <v>1000</v>
      </c>
      <c r="D21" s="156"/>
      <c r="E21" s="156"/>
      <c r="F21" s="156">
        <f t="shared" si="2"/>
        <v>1000</v>
      </c>
    </row>
    <row r="22" spans="1:6" x14ac:dyDescent="0.25">
      <c r="A22" t="s">
        <v>228</v>
      </c>
      <c r="B22" s="156">
        <v>300</v>
      </c>
      <c r="C22" s="156">
        <v>300</v>
      </c>
      <c r="D22" s="156">
        <v>300</v>
      </c>
      <c r="E22" s="156">
        <v>300</v>
      </c>
      <c r="F22" s="156">
        <f t="shared" si="2"/>
        <v>1200</v>
      </c>
    </row>
    <row r="23" spans="1:6" x14ac:dyDescent="0.25">
      <c r="A23" t="s">
        <v>229</v>
      </c>
      <c r="B23" s="156"/>
      <c r="C23" s="156">
        <f xml:space="preserve"> 10*B10</f>
        <v>500</v>
      </c>
      <c r="D23" s="156">
        <f>20*B10</f>
        <v>1000</v>
      </c>
      <c r="E23" s="156">
        <f>B10*50</f>
        <v>2500</v>
      </c>
      <c r="F23" s="156">
        <f t="shared" si="2"/>
        <v>4000</v>
      </c>
    </row>
    <row r="24" spans="1:6" ht="15.75" thickBot="1" x14ac:dyDescent="0.3">
      <c r="A24" t="s">
        <v>230</v>
      </c>
      <c r="B24" s="158"/>
      <c r="C24" s="158"/>
      <c r="D24" s="158"/>
      <c r="E24" s="158">
        <v>500</v>
      </c>
      <c r="F24" s="158">
        <f t="shared" si="2"/>
        <v>500</v>
      </c>
    </row>
    <row r="25" spans="1:6" ht="15.75" thickBot="1" x14ac:dyDescent="0.3">
      <c r="A25" t="s">
        <v>55</v>
      </c>
      <c r="B25" s="159">
        <f>SUM(B19:B24)</f>
        <v>850</v>
      </c>
      <c r="C25" s="159">
        <f t="shared" ref="C25:E25" si="3">SUM(C19:C24)</f>
        <v>1800</v>
      </c>
      <c r="D25" s="159">
        <f t="shared" si="3"/>
        <v>1300</v>
      </c>
      <c r="E25" s="159">
        <f t="shared" si="3"/>
        <v>3300</v>
      </c>
      <c r="F25" s="159">
        <f t="shared" si="2"/>
        <v>7250</v>
      </c>
    </row>
    <row r="26" spans="1:6" x14ac:dyDescent="0.25">
      <c r="B26" s="17"/>
      <c r="C26" s="17"/>
      <c r="D26" s="17"/>
      <c r="E26" s="17"/>
      <c r="F26" s="17"/>
    </row>
    <row r="27" spans="1:6" x14ac:dyDescent="0.25">
      <c r="A27" t="s">
        <v>56</v>
      </c>
      <c r="B27" s="157">
        <f>B17-B25</f>
        <v>150</v>
      </c>
      <c r="C27" s="157">
        <f t="shared" ref="C27:F27" si="4">C17-C25</f>
        <v>240</v>
      </c>
      <c r="D27" s="157">
        <f t="shared" si="4"/>
        <v>1660</v>
      </c>
      <c r="E27" s="157">
        <f t="shared" si="4"/>
        <v>1100</v>
      </c>
      <c r="F27" s="157">
        <f t="shared" si="4"/>
        <v>3150</v>
      </c>
    </row>
    <row r="28" spans="1:6" x14ac:dyDescent="0.25">
      <c r="A28" t="s">
        <v>231</v>
      </c>
      <c r="B28" s="156">
        <v>0</v>
      </c>
      <c r="C28" s="156">
        <f>B29</f>
        <v>150</v>
      </c>
      <c r="D28" s="156">
        <v>390</v>
      </c>
      <c r="E28" s="156">
        <v>2050</v>
      </c>
      <c r="F28" s="156">
        <v>0</v>
      </c>
    </row>
    <row r="29" spans="1:6" x14ac:dyDescent="0.25">
      <c r="A29" t="s">
        <v>232</v>
      </c>
      <c r="B29" s="156">
        <f>B28+B27</f>
        <v>150</v>
      </c>
      <c r="C29" s="156">
        <f t="shared" ref="C29:F29" si="5">C28+C27</f>
        <v>390</v>
      </c>
      <c r="D29" s="156">
        <f t="shared" si="5"/>
        <v>2050</v>
      </c>
      <c r="E29" s="156">
        <f t="shared" si="5"/>
        <v>3150</v>
      </c>
      <c r="F29" s="156">
        <f t="shared" si="5"/>
        <v>3150</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87"/>
  <sheetViews>
    <sheetView workbookViewId="0">
      <selection activeCell="D5" sqref="D5"/>
    </sheetView>
  </sheetViews>
  <sheetFormatPr baseColWidth="10" defaultRowHeight="15" x14ac:dyDescent="0.25"/>
  <cols>
    <col min="1" max="1" width="32.28515625" customWidth="1"/>
    <col min="2" max="7" width="13.28515625" customWidth="1"/>
  </cols>
  <sheetData>
    <row r="5" spans="1:5" ht="18.75" x14ac:dyDescent="0.3">
      <c r="A5" s="278" t="s">
        <v>370</v>
      </c>
    </row>
    <row r="6" spans="1:5" x14ac:dyDescent="0.25">
      <c r="A6" s="20"/>
    </row>
    <row r="7" spans="1:5" x14ac:dyDescent="0.25">
      <c r="A7" t="s">
        <v>369</v>
      </c>
    </row>
    <row r="8" spans="1:5" ht="15.75" x14ac:dyDescent="0.25">
      <c r="A8" s="53" t="s">
        <v>33</v>
      </c>
    </row>
    <row r="9" spans="1:5" x14ac:dyDescent="0.25">
      <c r="A9" s="102" t="s">
        <v>235</v>
      </c>
      <c r="B9" s="1">
        <v>0.25</v>
      </c>
    </row>
    <row r="10" spans="1:5" x14ac:dyDescent="0.25">
      <c r="A10" s="20"/>
    </row>
    <row r="11" spans="1:5" x14ac:dyDescent="0.25">
      <c r="B11" t="s">
        <v>170</v>
      </c>
      <c r="C11" s="20" t="s">
        <v>129</v>
      </c>
      <c r="D11" s="20" t="s">
        <v>130</v>
      </c>
      <c r="E11" s="20" t="s">
        <v>131</v>
      </c>
    </row>
    <row r="12" spans="1:5" x14ac:dyDescent="0.25">
      <c r="A12" s="102" t="s">
        <v>233</v>
      </c>
      <c r="B12" s="2">
        <v>450000</v>
      </c>
      <c r="C12">
        <v>420000</v>
      </c>
      <c r="D12">
        <v>400000</v>
      </c>
      <c r="E12">
        <v>420000</v>
      </c>
    </row>
    <row r="13" spans="1:5" x14ac:dyDescent="0.25">
      <c r="A13" t="s">
        <v>172</v>
      </c>
      <c r="B13" s="3">
        <f>B12*$B$9</f>
        <v>112500</v>
      </c>
      <c r="C13" s="3">
        <f t="shared" ref="C13:E13" si="0">C12*$B$9</f>
        <v>105000</v>
      </c>
      <c r="D13" s="3">
        <f t="shared" si="0"/>
        <v>100000</v>
      </c>
      <c r="E13" s="3">
        <f t="shared" si="0"/>
        <v>105000</v>
      </c>
    </row>
    <row r="14" spans="1:5" x14ac:dyDescent="0.25">
      <c r="A14" t="s">
        <v>234</v>
      </c>
      <c r="B14" s="8">
        <f>B12+B13</f>
        <v>562500</v>
      </c>
      <c r="C14" s="8">
        <f t="shared" ref="C14:E14" si="1">C12+C13</f>
        <v>525000</v>
      </c>
      <c r="D14" s="8">
        <f t="shared" si="1"/>
        <v>500000</v>
      </c>
      <c r="E14" s="8">
        <f t="shared" si="1"/>
        <v>525000</v>
      </c>
    </row>
    <row r="16" spans="1:5" x14ac:dyDescent="0.25">
      <c r="A16" s="20" t="s">
        <v>236</v>
      </c>
    </row>
    <row r="17" spans="1:7" x14ac:dyDescent="0.25">
      <c r="A17" t="s">
        <v>237</v>
      </c>
      <c r="B17" s="1">
        <v>0.6</v>
      </c>
    </row>
    <row r="18" spans="1:7" x14ac:dyDescent="0.25">
      <c r="D18" s="314" t="s">
        <v>180</v>
      </c>
      <c r="E18" s="314"/>
      <c r="F18" s="314"/>
      <c r="G18" s="10"/>
    </row>
    <row r="19" spans="1:7" x14ac:dyDescent="0.25">
      <c r="B19" t="s">
        <v>178</v>
      </c>
      <c r="C19" t="s">
        <v>194</v>
      </c>
      <c r="D19" s="20" t="s">
        <v>238</v>
      </c>
      <c r="E19" s="20" t="s">
        <v>130</v>
      </c>
      <c r="F19" s="20" t="s">
        <v>131</v>
      </c>
      <c r="G19" s="10"/>
    </row>
    <row r="20" spans="1:7" x14ac:dyDescent="0.25">
      <c r="A20" t="s">
        <v>170</v>
      </c>
      <c r="B20">
        <f>B14*B17</f>
        <v>337500</v>
      </c>
      <c r="C20" s="2"/>
      <c r="D20">
        <f>B20</f>
        <v>337500</v>
      </c>
      <c r="G20" s="10"/>
    </row>
    <row r="21" spans="1:7" x14ac:dyDescent="0.25">
      <c r="A21" t="s">
        <v>129</v>
      </c>
      <c r="B21">
        <f>C14*B17</f>
        <v>315000</v>
      </c>
      <c r="C21" s="2">
        <f>C14-B21</f>
        <v>210000</v>
      </c>
      <c r="D21" s="2">
        <f>C21</f>
        <v>210000</v>
      </c>
      <c r="E21">
        <f>B21</f>
        <v>315000</v>
      </c>
      <c r="G21" s="10"/>
    </row>
    <row r="22" spans="1:7" x14ac:dyDescent="0.25">
      <c r="A22" t="s">
        <v>130</v>
      </c>
      <c r="B22">
        <f>D14*B17</f>
        <v>300000</v>
      </c>
      <c r="C22" s="2">
        <f>D14-B22</f>
        <v>200000</v>
      </c>
      <c r="E22" s="2">
        <f>C22</f>
        <v>200000</v>
      </c>
      <c r="F22">
        <f>B22</f>
        <v>300000</v>
      </c>
      <c r="G22" s="10"/>
    </row>
    <row r="23" spans="1:7" x14ac:dyDescent="0.25">
      <c r="A23" t="s">
        <v>131</v>
      </c>
      <c r="B23">
        <f>E14*B17</f>
        <v>315000</v>
      </c>
      <c r="C23" s="2">
        <f>E14-B23</f>
        <v>210000</v>
      </c>
      <c r="D23" s="160"/>
      <c r="E23" s="160"/>
      <c r="F23" s="3">
        <f>C23</f>
        <v>210000</v>
      </c>
      <c r="G23" s="13"/>
    </row>
    <row r="24" spans="1:7" ht="15.75" thickBot="1" x14ac:dyDescent="0.3">
      <c r="A24" t="s">
        <v>239</v>
      </c>
      <c r="D24" s="161">
        <f>SUM(D20:D23)</f>
        <v>547500</v>
      </c>
      <c r="E24" s="161">
        <f t="shared" ref="E24:F24" si="2">SUM(E20:E23)</f>
        <v>515000</v>
      </c>
      <c r="F24" s="161">
        <f t="shared" si="2"/>
        <v>510000</v>
      </c>
      <c r="G24" s="13"/>
    </row>
    <row r="25" spans="1:7" ht="15.75" thickTop="1" x14ac:dyDescent="0.25"/>
    <row r="26" spans="1:7" x14ac:dyDescent="0.25">
      <c r="A26" s="293" t="s">
        <v>368</v>
      </c>
    </row>
    <row r="28" spans="1:7" x14ac:dyDescent="0.25">
      <c r="A28" s="20" t="s">
        <v>240</v>
      </c>
    </row>
    <row r="29" spans="1:7" x14ac:dyDescent="0.25">
      <c r="A29" s="20" t="s">
        <v>241</v>
      </c>
    </row>
    <row r="31" spans="1:7" x14ac:dyDescent="0.25">
      <c r="A31" t="s">
        <v>34</v>
      </c>
      <c r="B31" s="1">
        <v>0.25</v>
      </c>
    </row>
    <row r="32" spans="1:7" x14ac:dyDescent="0.25">
      <c r="A32" t="s">
        <v>242</v>
      </c>
      <c r="B32" s="1">
        <v>0.6</v>
      </c>
    </row>
    <row r="33" spans="1:5" x14ac:dyDescent="0.25">
      <c r="A33" t="s">
        <v>243</v>
      </c>
      <c r="B33" s="1">
        <v>1</v>
      </c>
    </row>
    <row r="34" spans="1:5" x14ac:dyDescent="0.25">
      <c r="A34" t="s">
        <v>244</v>
      </c>
      <c r="B34">
        <v>30</v>
      </c>
      <c r="C34" t="s">
        <v>245</v>
      </c>
    </row>
    <row r="36" spans="1:5" x14ac:dyDescent="0.25">
      <c r="B36" s="18" t="s">
        <v>170</v>
      </c>
      <c r="C36" s="162" t="s">
        <v>129</v>
      </c>
      <c r="D36" s="162" t="s">
        <v>130</v>
      </c>
      <c r="E36" s="162" t="s">
        <v>131</v>
      </c>
    </row>
    <row r="37" spans="1:5" x14ac:dyDescent="0.25">
      <c r="A37" t="s">
        <v>246</v>
      </c>
      <c r="B37" s="163">
        <v>450000</v>
      </c>
      <c r="C37" s="163">
        <v>420000</v>
      </c>
      <c r="D37" s="163">
        <v>400000</v>
      </c>
      <c r="E37" s="163">
        <v>420000</v>
      </c>
    </row>
    <row r="38" spans="1:5" x14ac:dyDescent="0.25">
      <c r="A38" t="s">
        <v>62</v>
      </c>
      <c r="B38" s="163">
        <f>B37*B32</f>
        <v>270000</v>
      </c>
      <c r="C38" s="163">
        <f>C37*B32</f>
        <v>252000</v>
      </c>
      <c r="D38" s="163">
        <f>D37*B32</f>
        <v>240000</v>
      </c>
      <c r="E38" s="163">
        <f>E37*B32</f>
        <v>252000</v>
      </c>
    </row>
    <row r="39" spans="1:5" x14ac:dyDescent="0.25">
      <c r="A39" s="20" t="s">
        <v>6</v>
      </c>
      <c r="B39" s="292">
        <f>B37-B38</f>
        <v>180000</v>
      </c>
      <c r="C39" s="164">
        <f t="shared" ref="C39:E39" si="3">C37-C38</f>
        <v>168000</v>
      </c>
      <c r="D39" s="164">
        <f t="shared" si="3"/>
        <v>160000</v>
      </c>
      <c r="E39" s="164">
        <f t="shared" si="3"/>
        <v>168000</v>
      </c>
    </row>
    <row r="40" spans="1:5" x14ac:dyDescent="0.25">
      <c r="A40" t="s">
        <v>247</v>
      </c>
      <c r="B40" s="165">
        <v>0</v>
      </c>
      <c r="C40" s="165">
        <v>30000</v>
      </c>
      <c r="D40" s="165">
        <v>-20000</v>
      </c>
      <c r="E40" s="165">
        <v>-10000</v>
      </c>
    </row>
    <row r="41" spans="1:5" x14ac:dyDescent="0.25">
      <c r="A41" s="20" t="s">
        <v>75</v>
      </c>
      <c r="B41" s="163">
        <f>B39+B40</f>
        <v>180000</v>
      </c>
      <c r="C41" s="164">
        <f t="shared" ref="C41:E41" si="4">C39+C40</f>
        <v>198000</v>
      </c>
      <c r="D41" s="164">
        <f t="shared" si="4"/>
        <v>140000</v>
      </c>
      <c r="E41" s="164">
        <f t="shared" si="4"/>
        <v>158000</v>
      </c>
    </row>
    <row r="42" spans="1:5" x14ac:dyDescent="0.25">
      <c r="A42" t="s">
        <v>172</v>
      </c>
      <c r="B42" s="165">
        <f>B41*$B$31</f>
        <v>45000</v>
      </c>
      <c r="C42" s="165">
        <f t="shared" ref="C42:E42" si="5">C41*$B$31</f>
        <v>49500</v>
      </c>
      <c r="D42" s="165">
        <f t="shared" si="5"/>
        <v>35000</v>
      </c>
      <c r="E42" s="165">
        <f t="shared" si="5"/>
        <v>39500</v>
      </c>
    </row>
    <row r="43" spans="1:5" x14ac:dyDescent="0.25">
      <c r="A43" s="20" t="s">
        <v>77</v>
      </c>
      <c r="B43" s="164">
        <f>SUM(B41:B42)</f>
        <v>225000</v>
      </c>
      <c r="C43" s="166">
        <f t="shared" ref="C43:E43" si="6">SUM(C41:C42)</f>
        <v>247500</v>
      </c>
      <c r="D43" s="166">
        <f t="shared" si="6"/>
        <v>175000</v>
      </c>
      <c r="E43" s="166">
        <f t="shared" si="6"/>
        <v>197500</v>
      </c>
    </row>
    <row r="44" spans="1:5" ht="15.75" thickBot="1" x14ac:dyDescent="0.3">
      <c r="A44" s="20" t="s">
        <v>46</v>
      </c>
      <c r="B44" s="164"/>
      <c r="C44" s="167">
        <f>B43</f>
        <v>225000</v>
      </c>
      <c r="D44" s="167">
        <f>C43</f>
        <v>247500</v>
      </c>
      <c r="E44" s="167">
        <f>D43</f>
        <v>175000</v>
      </c>
    </row>
    <row r="45" spans="1:5" ht="15.75" thickTop="1" x14ac:dyDescent="0.25">
      <c r="A45" s="20"/>
      <c r="B45" s="164"/>
      <c r="C45" s="168"/>
      <c r="D45" s="168"/>
      <c r="E45" s="168"/>
    </row>
    <row r="46" spans="1:5" ht="15.75" thickBot="1" x14ac:dyDescent="0.3">
      <c r="A46" s="20" t="s">
        <v>248</v>
      </c>
      <c r="B46" s="167">
        <f>B43</f>
        <v>225000</v>
      </c>
      <c r="C46" s="168"/>
      <c r="D46" s="168"/>
      <c r="E46" s="168"/>
    </row>
    <row r="47" spans="1:5" ht="15.75" thickTop="1" x14ac:dyDescent="0.25"/>
    <row r="48" spans="1:5" x14ac:dyDescent="0.25">
      <c r="A48" s="20" t="s">
        <v>249</v>
      </c>
    </row>
    <row r="49" spans="1:5" x14ac:dyDescent="0.25">
      <c r="A49" t="s">
        <v>250</v>
      </c>
      <c r="B49" s="2">
        <v>45000</v>
      </c>
    </row>
    <row r="50" spans="1:5" x14ac:dyDescent="0.25">
      <c r="A50" t="s">
        <v>251</v>
      </c>
      <c r="B50" s="2">
        <v>5000</v>
      </c>
    </row>
    <row r="51" spans="1:5" x14ac:dyDescent="0.25">
      <c r="A51" t="s">
        <v>252</v>
      </c>
      <c r="B51" s="3">
        <v>50000</v>
      </c>
    </row>
    <row r="52" spans="1:5" ht="15.75" thickBot="1" x14ac:dyDescent="0.3">
      <c r="A52" s="20" t="s">
        <v>253</v>
      </c>
      <c r="B52" s="169">
        <f>SUM(B49:B51)</f>
        <v>100000</v>
      </c>
    </row>
    <row r="53" spans="1:5" ht="15.75" thickTop="1" x14ac:dyDescent="0.25"/>
    <row r="55" spans="1:5" x14ac:dyDescent="0.25">
      <c r="A55" s="20" t="s">
        <v>221</v>
      </c>
      <c r="B55" s="170" t="s">
        <v>129</v>
      </c>
      <c r="C55" s="170" t="s">
        <v>130</v>
      </c>
      <c r="D55" s="171" t="s">
        <v>131</v>
      </c>
      <c r="E55" s="171" t="s">
        <v>254</v>
      </c>
    </row>
    <row r="56" spans="1:5" x14ac:dyDescent="0.25">
      <c r="A56" s="20" t="s">
        <v>255</v>
      </c>
      <c r="B56" s="170"/>
      <c r="C56" s="170"/>
      <c r="D56" s="171"/>
      <c r="E56" s="171"/>
    </row>
    <row r="57" spans="1:5" x14ac:dyDescent="0.25">
      <c r="A57" t="s">
        <v>256</v>
      </c>
      <c r="B57" s="172">
        <f>D24</f>
        <v>547500</v>
      </c>
      <c r="C57" s="172">
        <f>E24</f>
        <v>515000</v>
      </c>
      <c r="D57" s="172">
        <f>F24</f>
        <v>510000</v>
      </c>
      <c r="E57" s="172">
        <f>SUM(B57:D57)</f>
        <v>1572500</v>
      </c>
    </row>
    <row r="58" spans="1:5" x14ac:dyDescent="0.25">
      <c r="B58" s="173"/>
      <c r="C58" s="173"/>
      <c r="D58" s="174"/>
      <c r="E58" s="174"/>
    </row>
    <row r="59" spans="1:5" x14ac:dyDescent="0.25">
      <c r="A59" t="s">
        <v>53</v>
      </c>
      <c r="B59" s="174"/>
      <c r="C59" s="174"/>
      <c r="D59" s="174"/>
      <c r="E59" s="174"/>
    </row>
    <row r="60" spans="1:5" x14ac:dyDescent="0.25">
      <c r="A60" t="s">
        <v>257</v>
      </c>
      <c r="B60" s="174">
        <f>C44</f>
        <v>225000</v>
      </c>
      <c r="C60" s="174">
        <f>D44</f>
        <v>247500</v>
      </c>
      <c r="D60" s="174">
        <f>E44</f>
        <v>175000</v>
      </c>
      <c r="E60" s="174">
        <f>SUM(B60:D60)</f>
        <v>647500</v>
      </c>
    </row>
    <row r="61" spans="1:5" x14ac:dyDescent="0.25">
      <c r="A61" t="s">
        <v>258</v>
      </c>
      <c r="B61" s="174">
        <v>60000</v>
      </c>
      <c r="C61" s="174">
        <v>60000</v>
      </c>
      <c r="D61" s="174">
        <v>60000</v>
      </c>
      <c r="E61" s="174">
        <f t="shared" ref="E61:E67" si="7">SUM(B61:D61)</f>
        <v>180000</v>
      </c>
    </row>
    <row r="62" spans="1:5" x14ac:dyDescent="0.25">
      <c r="A62" t="s">
        <v>259</v>
      </c>
      <c r="B62" s="174">
        <v>16000</v>
      </c>
      <c r="C62" s="174"/>
      <c r="D62" s="174">
        <f>120000*0.141</f>
        <v>16920</v>
      </c>
      <c r="E62" s="174">
        <f t="shared" si="7"/>
        <v>32920</v>
      </c>
    </row>
    <row r="63" spans="1:5" x14ac:dyDescent="0.25">
      <c r="A63" t="s">
        <v>260</v>
      </c>
      <c r="B63" s="174">
        <v>45000</v>
      </c>
      <c r="C63" s="174"/>
      <c r="D63" s="174"/>
      <c r="E63" s="174">
        <f t="shared" si="7"/>
        <v>45000</v>
      </c>
    </row>
    <row r="64" spans="1:5" x14ac:dyDescent="0.25">
      <c r="A64" t="s">
        <v>261</v>
      </c>
      <c r="B64" s="174"/>
      <c r="C64" s="174"/>
      <c r="D64" s="174">
        <v>200000</v>
      </c>
      <c r="E64" s="174">
        <f t="shared" si="7"/>
        <v>200000</v>
      </c>
    </row>
    <row r="65" spans="1:5" x14ac:dyDescent="0.25">
      <c r="A65" t="s">
        <v>54</v>
      </c>
      <c r="B65" s="174"/>
      <c r="C65" s="174">
        <v>30000</v>
      </c>
      <c r="D65" s="174"/>
      <c r="E65" s="174">
        <f t="shared" si="7"/>
        <v>30000</v>
      </c>
    </row>
    <row r="66" spans="1:5" x14ac:dyDescent="0.25">
      <c r="A66" t="s">
        <v>262</v>
      </c>
      <c r="B66" s="173">
        <f>60000*1.25</f>
        <v>75000</v>
      </c>
      <c r="C66" s="173">
        <f t="shared" ref="C66:D66" si="8">60000*1.25</f>
        <v>75000</v>
      </c>
      <c r="D66" s="173">
        <f t="shared" si="8"/>
        <v>75000</v>
      </c>
      <c r="E66" s="174">
        <f t="shared" si="7"/>
        <v>225000</v>
      </c>
    </row>
    <row r="67" spans="1:5" x14ac:dyDescent="0.25">
      <c r="A67" t="s">
        <v>263</v>
      </c>
      <c r="B67" s="172"/>
      <c r="C67" s="172">
        <v>80000</v>
      </c>
      <c r="D67" s="172"/>
      <c r="E67" s="172">
        <f t="shared" si="7"/>
        <v>80000</v>
      </c>
    </row>
    <row r="68" spans="1:5" x14ac:dyDescent="0.25">
      <c r="A68" t="s">
        <v>55</v>
      </c>
      <c r="B68" s="175">
        <f>SUM(B60:B67)</f>
        <v>421000</v>
      </c>
      <c r="C68" s="175">
        <f t="shared" ref="C68:E68" si="9">SUM(C60:C67)</f>
        <v>492500</v>
      </c>
      <c r="D68" s="175">
        <f t="shared" si="9"/>
        <v>526920</v>
      </c>
      <c r="E68" s="175">
        <f t="shared" si="9"/>
        <v>1440420</v>
      </c>
    </row>
    <row r="69" spans="1:5" x14ac:dyDescent="0.25">
      <c r="B69" s="174"/>
      <c r="C69" s="174"/>
      <c r="D69" s="174"/>
      <c r="E69" s="174"/>
    </row>
    <row r="70" spans="1:5" x14ac:dyDescent="0.25">
      <c r="A70" t="s">
        <v>264</v>
      </c>
      <c r="B70" s="174">
        <v>100000</v>
      </c>
      <c r="C70" s="174">
        <f>B72</f>
        <v>226500</v>
      </c>
      <c r="D70" s="174">
        <f>C72</f>
        <v>249000</v>
      </c>
      <c r="E70" s="174">
        <f>B70</f>
        <v>100000</v>
      </c>
    </row>
    <row r="71" spans="1:5" x14ac:dyDescent="0.25">
      <c r="A71" t="s">
        <v>56</v>
      </c>
      <c r="B71" s="174">
        <f>B57-B68</f>
        <v>126500</v>
      </c>
      <c r="C71" s="174">
        <f>C57-C68</f>
        <v>22500</v>
      </c>
      <c r="D71" s="174">
        <f>D57-D68</f>
        <v>-16920</v>
      </c>
      <c r="E71" s="174">
        <f>E57-E68</f>
        <v>132080</v>
      </c>
    </row>
    <row r="72" spans="1:5" x14ac:dyDescent="0.25">
      <c r="A72" s="20" t="s">
        <v>265</v>
      </c>
      <c r="B72" s="178">
        <f>B70+B71</f>
        <v>226500</v>
      </c>
      <c r="C72" s="178">
        <f>C70+C71</f>
        <v>249000</v>
      </c>
      <c r="D72" s="178">
        <f>D70+D71</f>
        <v>232080</v>
      </c>
      <c r="E72" s="178">
        <f>E70+E71</f>
        <v>232080</v>
      </c>
    </row>
    <row r="73" spans="1:5" x14ac:dyDescent="0.25">
      <c r="B73" s="174"/>
      <c r="C73" s="174"/>
      <c r="D73" s="174"/>
      <c r="E73" s="174"/>
    </row>
    <row r="74" spans="1:5" x14ac:dyDescent="0.25">
      <c r="B74" s="174"/>
      <c r="C74" s="174"/>
      <c r="D74" s="174"/>
      <c r="E74" s="174"/>
    </row>
    <row r="75" spans="1:5" x14ac:dyDescent="0.25">
      <c r="A75" s="20" t="s">
        <v>266</v>
      </c>
      <c r="B75" s="174" t="s">
        <v>129</v>
      </c>
      <c r="C75" s="174" t="s">
        <v>130</v>
      </c>
      <c r="D75" s="174" t="s">
        <v>131</v>
      </c>
      <c r="E75" s="174" t="s">
        <v>254</v>
      </c>
    </row>
    <row r="76" spans="1:5" x14ac:dyDescent="0.25">
      <c r="A76" t="s">
        <v>267</v>
      </c>
      <c r="B76" s="174"/>
      <c r="C76" s="174"/>
      <c r="D76" s="174"/>
      <c r="E76" s="174"/>
    </row>
    <row r="77" spans="1:5" x14ac:dyDescent="0.25">
      <c r="A77" t="s">
        <v>5</v>
      </c>
      <c r="B77" s="172">
        <v>420000</v>
      </c>
      <c r="C77" s="172">
        <v>400000</v>
      </c>
      <c r="D77" s="172">
        <v>420000</v>
      </c>
      <c r="E77" s="172">
        <f>SUM(B77:D77)</f>
        <v>1240000</v>
      </c>
    </row>
    <row r="78" spans="1:5" ht="15.75" x14ac:dyDescent="0.25">
      <c r="A78" s="291" t="s">
        <v>268</v>
      </c>
      <c r="B78" s="174"/>
      <c r="C78" s="174"/>
      <c r="D78" s="174"/>
      <c r="E78" s="174"/>
    </row>
    <row r="79" spans="1:5" x14ac:dyDescent="0.25">
      <c r="A79" t="s">
        <v>6</v>
      </c>
      <c r="B79" s="174">
        <f>C39</f>
        <v>168000</v>
      </c>
      <c r="C79" s="174">
        <f>D39</f>
        <v>160000</v>
      </c>
      <c r="D79" s="174">
        <f>E39</f>
        <v>168000</v>
      </c>
      <c r="E79" s="174">
        <f t="shared" ref="E79:E83" si="10">SUM(B79:D79)</f>
        <v>496000</v>
      </c>
    </row>
    <row r="80" spans="1:5" x14ac:dyDescent="0.25">
      <c r="A80" t="s">
        <v>269</v>
      </c>
      <c r="B80" s="21">
        <f>60000*1.12*1.141</f>
        <v>76675.199999999997</v>
      </c>
      <c r="C80" s="21">
        <f t="shared" ref="C80:D80" si="11">60000*1.12*1.141</f>
        <v>76675.199999999997</v>
      </c>
      <c r="D80" s="21">
        <f t="shared" si="11"/>
        <v>76675.199999999997</v>
      </c>
      <c r="E80" s="174">
        <f t="shared" si="10"/>
        <v>230025.59999999998</v>
      </c>
    </row>
    <row r="81" spans="1:5" x14ac:dyDescent="0.25">
      <c r="A81" t="s">
        <v>40</v>
      </c>
      <c r="B81" s="5">
        <v>15000</v>
      </c>
      <c r="C81" s="5">
        <v>15000</v>
      </c>
      <c r="D81" s="5">
        <v>15000</v>
      </c>
      <c r="E81" s="174">
        <f t="shared" si="10"/>
        <v>45000</v>
      </c>
    </row>
    <row r="82" spans="1:5" x14ac:dyDescent="0.25">
      <c r="A82" t="s">
        <v>29</v>
      </c>
      <c r="B82" s="5">
        <v>4000</v>
      </c>
      <c r="C82" s="5">
        <v>4000</v>
      </c>
      <c r="D82" s="5">
        <v>4000</v>
      </c>
      <c r="E82" s="174">
        <f t="shared" si="10"/>
        <v>12000</v>
      </c>
    </row>
    <row r="83" spans="1:5" x14ac:dyDescent="0.25">
      <c r="A83" t="s">
        <v>41</v>
      </c>
      <c r="B83" s="176">
        <v>60000</v>
      </c>
      <c r="C83" s="176">
        <v>60000</v>
      </c>
      <c r="D83" s="176">
        <v>60000</v>
      </c>
      <c r="E83" s="172">
        <f t="shared" si="10"/>
        <v>180000</v>
      </c>
    </row>
    <row r="84" spans="1:5" x14ac:dyDescent="0.25">
      <c r="A84" t="s">
        <v>30</v>
      </c>
      <c r="B84" s="175">
        <f>SUM(B79:B83)</f>
        <v>323675.2</v>
      </c>
      <c r="C84" s="175">
        <f t="shared" ref="C84:E84" si="12">SUM(C79:C83)</f>
        <v>315675.2</v>
      </c>
      <c r="D84" s="175">
        <f t="shared" si="12"/>
        <v>323675.2</v>
      </c>
      <c r="E84" s="175">
        <f t="shared" si="12"/>
        <v>963025.6</v>
      </c>
    </row>
    <row r="85" spans="1:5" x14ac:dyDescent="0.25">
      <c r="A85" t="s">
        <v>31</v>
      </c>
      <c r="B85" s="174">
        <f>B77-B84</f>
        <v>96324.799999999988</v>
      </c>
      <c r="C85" s="174">
        <f t="shared" ref="C85:E85" si="13">C77-C84</f>
        <v>84324.799999999988</v>
      </c>
      <c r="D85" s="174">
        <f t="shared" si="13"/>
        <v>96324.799999999988</v>
      </c>
      <c r="E85" s="174">
        <f t="shared" si="13"/>
        <v>276974.40000000002</v>
      </c>
    </row>
    <row r="86" spans="1:5" x14ac:dyDescent="0.25">
      <c r="A86" t="s">
        <v>104</v>
      </c>
      <c r="B86" s="172">
        <v>2000</v>
      </c>
      <c r="C86" s="172">
        <v>2000</v>
      </c>
      <c r="D86" s="172">
        <v>2000</v>
      </c>
      <c r="E86" s="172">
        <f>SUM(B86:D86)</f>
        <v>6000</v>
      </c>
    </row>
    <row r="87" spans="1:5" x14ac:dyDescent="0.25">
      <c r="A87" s="20" t="s">
        <v>270</v>
      </c>
      <c r="B87" s="177">
        <f>B85-B86</f>
        <v>94324.799999999988</v>
      </c>
      <c r="C87" s="177">
        <f t="shared" ref="C87:E87" si="14">C85-C86</f>
        <v>82324.799999999988</v>
      </c>
      <c r="D87" s="177">
        <f t="shared" si="14"/>
        <v>94324.799999999988</v>
      </c>
      <c r="E87" s="177">
        <f t="shared" si="14"/>
        <v>270974.40000000002</v>
      </c>
    </row>
  </sheetData>
  <mergeCells count="1">
    <mergeCell ref="D18:F1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0"/>
  <sheetViews>
    <sheetView workbookViewId="0">
      <selection activeCell="D59" sqref="D59"/>
    </sheetView>
  </sheetViews>
  <sheetFormatPr baseColWidth="10" defaultRowHeight="15" x14ac:dyDescent="0.25"/>
  <cols>
    <col min="1" max="1" width="27.140625" style="2" customWidth="1"/>
    <col min="2" max="16384" width="11.42578125" style="2"/>
  </cols>
  <sheetData>
    <row r="1" spans="1:6" x14ac:dyDescent="0.25">
      <c r="D1" s="174"/>
    </row>
    <row r="2" spans="1:6" x14ac:dyDescent="0.25">
      <c r="D2" s="174"/>
    </row>
    <row r="3" spans="1:6" x14ac:dyDescent="0.25">
      <c r="D3" s="174"/>
    </row>
    <row r="4" spans="1:6" x14ac:dyDescent="0.25">
      <c r="D4" s="174"/>
    </row>
    <row r="5" spans="1:6" ht="18.75" x14ac:dyDescent="0.3">
      <c r="A5" s="297" t="s">
        <v>418</v>
      </c>
      <c r="B5" s="294"/>
      <c r="C5" s="294"/>
      <c r="D5" s="306"/>
      <c r="E5" s="294"/>
      <c r="F5" s="294"/>
    </row>
    <row r="6" spans="1:6" ht="15.75" x14ac:dyDescent="0.25">
      <c r="A6" s="298"/>
      <c r="B6" s="294"/>
      <c r="C6" s="294"/>
      <c r="D6" s="306"/>
      <c r="E6" s="294"/>
      <c r="F6" s="294"/>
    </row>
    <row r="7" spans="1:6" ht="15.75" x14ac:dyDescent="0.25">
      <c r="A7" s="294" t="s">
        <v>384</v>
      </c>
      <c r="B7" s="294"/>
      <c r="C7" s="294"/>
      <c r="D7" s="306"/>
      <c r="E7" s="294"/>
      <c r="F7" s="294"/>
    </row>
    <row r="8" spans="1:6" ht="15.75" x14ac:dyDescent="0.25">
      <c r="A8" s="294" t="s">
        <v>421</v>
      </c>
      <c r="B8" s="294"/>
      <c r="C8" s="294"/>
      <c r="D8" s="306"/>
      <c r="E8" s="294"/>
      <c r="F8" s="294"/>
    </row>
    <row r="9" spans="1:6" ht="15.75" x14ac:dyDescent="0.25">
      <c r="A9" s="294"/>
      <c r="B9" s="294"/>
      <c r="C9" s="294"/>
      <c r="D9" s="306"/>
      <c r="E9" s="294"/>
      <c r="F9" s="294"/>
    </row>
    <row r="10" spans="1:6" ht="15.75" x14ac:dyDescent="0.25">
      <c r="A10" s="294" t="s">
        <v>34</v>
      </c>
      <c r="B10" s="301">
        <v>0.25</v>
      </c>
      <c r="C10" s="294"/>
      <c r="D10" s="306"/>
      <c r="E10" s="294"/>
      <c r="F10" s="294"/>
    </row>
    <row r="11" spans="1:6" ht="15.75" x14ac:dyDescent="0.25">
      <c r="A11" s="294"/>
      <c r="B11" s="294"/>
      <c r="C11" s="294"/>
      <c r="D11" s="306"/>
      <c r="E11" s="294"/>
      <c r="F11" s="294"/>
    </row>
    <row r="12" spans="1:6" ht="15.75" x14ac:dyDescent="0.25">
      <c r="A12" s="298" t="s">
        <v>33</v>
      </c>
      <c r="B12" s="298" t="s">
        <v>26</v>
      </c>
      <c r="C12" s="298" t="s">
        <v>138</v>
      </c>
      <c r="D12" s="305" t="s">
        <v>139</v>
      </c>
      <c r="E12" s="294"/>
      <c r="F12" s="294"/>
    </row>
    <row r="13" spans="1:6" ht="15.75" x14ac:dyDescent="0.25">
      <c r="A13" s="294" t="s">
        <v>58</v>
      </c>
      <c r="B13" s="294">
        <v>380000</v>
      </c>
      <c r="C13" s="294">
        <v>620000</v>
      </c>
      <c r="D13" s="294">
        <v>420000</v>
      </c>
      <c r="E13" s="294"/>
      <c r="F13" s="294"/>
    </row>
    <row r="14" spans="1:6" ht="15.75" x14ac:dyDescent="0.25">
      <c r="A14" s="294" t="s">
        <v>76</v>
      </c>
      <c r="B14" s="194">
        <f>B13*$B$10</f>
        <v>95000</v>
      </c>
      <c r="C14" s="194">
        <f t="shared" ref="C14:D14" si="0">C13*$B$10</f>
        <v>155000</v>
      </c>
      <c r="D14" s="194">
        <f t="shared" si="0"/>
        <v>105000</v>
      </c>
      <c r="E14" s="294"/>
      <c r="F14" s="294"/>
    </row>
    <row r="15" spans="1:6" ht="15.75" x14ac:dyDescent="0.25">
      <c r="A15" s="294" t="s">
        <v>57</v>
      </c>
      <c r="B15" s="195">
        <f>B13+B14</f>
        <v>475000</v>
      </c>
      <c r="C15" s="195">
        <f t="shared" ref="C15:D15" si="1">C13+C14</f>
        <v>775000</v>
      </c>
      <c r="D15" s="195">
        <f t="shared" si="1"/>
        <v>525000</v>
      </c>
      <c r="E15" s="294"/>
      <c r="F15" s="294"/>
    </row>
    <row r="16" spans="1:6" ht="15.75" x14ac:dyDescent="0.25">
      <c r="A16" s="294"/>
      <c r="B16" s="294"/>
      <c r="C16" s="294"/>
      <c r="D16" s="294"/>
      <c r="E16" s="294"/>
      <c r="F16" s="294"/>
    </row>
    <row r="17" spans="1:6" ht="15.75" x14ac:dyDescent="0.25">
      <c r="A17" s="298" t="s">
        <v>236</v>
      </c>
      <c r="B17" s="294"/>
      <c r="C17" s="294"/>
      <c r="D17" s="294"/>
      <c r="E17" s="294"/>
      <c r="F17" s="294"/>
    </row>
    <row r="18" spans="1:6" ht="15.75" x14ac:dyDescent="0.25">
      <c r="A18" s="294" t="s">
        <v>178</v>
      </c>
      <c r="B18" s="301">
        <v>0.5</v>
      </c>
      <c r="C18" s="294"/>
      <c r="D18" s="294"/>
      <c r="E18" s="294"/>
      <c r="F18" s="294"/>
    </row>
    <row r="19" spans="1:6" ht="15.75" x14ac:dyDescent="0.25">
      <c r="A19" s="294" t="s">
        <v>176</v>
      </c>
      <c r="B19" s="294">
        <v>15</v>
      </c>
      <c r="C19" s="294" t="s">
        <v>245</v>
      </c>
      <c r="D19" s="294"/>
      <c r="E19" s="294"/>
      <c r="F19" s="294"/>
    </row>
    <row r="20" spans="1:6" ht="15.75" x14ac:dyDescent="0.25">
      <c r="A20" s="294"/>
      <c r="B20" s="294"/>
      <c r="C20" s="294"/>
      <c r="D20" s="294"/>
      <c r="E20" s="294"/>
      <c r="F20" s="294"/>
    </row>
    <row r="21" spans="1:6" ht="15.75" x14ac:dyDescent="0.25">
      <c r="A21" s="294"/>
      <c r="B21" s="294"/>
      <c r="C21" s="316" t="s">
        <v>180</v>
      </c>
      <c r="D21" s="316"/>
      <c r="E21" s="316"/>
      <c r="F21" s="304"/>
    </row>
    <row r="22" spans="1:6" ht="15.75" x14ac:dyDescent="0.25">
      <c r="A22" s="298" t="s">
        <v>385</v>
      </c>
      <c r="B22" s="294" t="s">
        <v>178</v>
      </c>
      <c r="C22" s="299" t="s">
        <v>26</v>
      </c>
      <c r="D22" s="299" t="s">
        <v>138</v>
      </c>
      <c r="E22" s="299" t="s">
        <v>139</v>
      </c>
      <c r="F22" s="197"/>
    </row>
    <row r="23" spans="1:6" ht="15.75" x14ac:dyDescent="0.25">
      <c r="A23" s="294" t="s">
        <v>386</v>
      </c>
      <c r="B23" s="294">
        <v>90000</v>
      </c>
      <c r="C23" s="294">
        <f>B23</f>
        <v>90000</v>
      </c>
      <c r="D23" s="294"/>
      <c r="E23" s="294"/>
      <c r="F23" s="186"/>
    </row>
    <row r="24" spans="1:6" ht="15.75" x14ac:dyDescent="0.25">
      <c r="A24" s="294" t="s">
        <v>26</v>
      </c>
      <c r="B24" s="294">
        <f>B15/2</f>
        <v>237500</v>
      </c>
      <c r="C24" s="294">
        <f>B24/2</f>
        <v>118750</v>
      </c>
      <c r="D24" s="294">
        <f>C24</f>
        <v>118750</v>
      </c>
      <c r="E24" s="294"/>
      <c r="F24" s="186"/>
    </row>
    <row r="25" spans="1:6" ht="15.75" x14ac:dyDescent="0.25">
      <c r="A25" s="294" t="s">
        <v>138</v>
      </c>
      <c r="B25" s="294">
        <f>C15/2</f>
        <v>387500</v>
      </c>
      <c r="C25" s="294"/>
      <c r="D25" s="294">
        <f>B25/2</f>
        <v>193750</v>
      </c>
      <c r="E25" s="294">
        <f>B25/2</f>
        <v>193750</v>
      </c>
      <c r="F25" s="186"/>
    </row>
    <row r="26" spans="1:6" ht="15.75" x14ac:dyDescent="0.25">
      <c r="A26" s="294" t="s">
        <v>139</v>
      </c>
      <c r="B26" s="294">
        <f>D15/2</f>
        <v>262500</v>
      </c>
      <c r="C26" s="194"/>
      <c r="D26" s="194"/>
      <c r="E26" s="194">
        <f>B26/2</f>
        <v>131250</v>
      </c>
      <c r="F26" s="186"/>
    </row>
    <row r="27" spans="1:6" ht="15.75" x14ac:dyDescent="0.25">
      <c r="A27" s="294" t="s">
        <v>387</v>
      </c>
      <c r="B27" s="294"/>
      <c r="C27" s="295">
        <f>SUM(C23:C26)</f>
        <v>208750</v>
      </c>
      <c r="D27" s="295">
        <f t="shared" ref="D27:E27" si="2">SUM(D23:D26)</f>
        <v>312500</v>
      </c>
      <c r="E27" s="295">
        <f t="shared" si="2"/>
        <v>325000</v>
      </c>
      <c r="F27" s="186"/>
    </row>
    <row r="28" spans="1:6" ht="15.75" x14ac:dyDescent="0.25">
      <c r="A28" s="294" t="s">
        <v>388</v>
      </c>
      <c r="B28" s="294"/>
      <c r="C28" s="194">
        <f>B24</f>
        <v>237500</v>
      </c>
      <c r="D28" s="194">
        <f>B25</f>
        <v>387500</v>
      </c>
      <c r="E28" s="194">
        <f>B26</f>
        <v>262500</v>
      </c>
      <c r="F28" s="294"/>
    </row>
    <row r="29" spans="1:6" ht="15.75" x14ac:dyDescent="0.25">
      <c r="A29" s="294" t="s">
        <v>52</v>
      </c>
      <c r="B29" s="294"/>
      <c r="C29" s="195">
        <f>SUM(C27:C28)</f>
        <v>446250</v>
      </c>
      <c r="D29" s="195">
        <f t="shared" ref="D29:E29" si="3">SUM(D27:D28)</f>
        <v>700000</v>
      </c>
      <c r="E29" s="195">
        <f t="shared" si="3"/>
        <v>587500</v>
      </c>
      <c r="F29" s="294"/>
    </row>
    <row r="30" spans="1:6" ht="15.75" x14ac:dyDescent="0.25">
      <c r="A30" s="294"/>
      <c r="B30" s="294"/>
      <c r="C30" s="294"/>
      <c r="D30" s="294"/>
      <c r="E30" s="294"/>
      <c r="F30" s="294"/>
    </row>
    <row r="31" spans="1:6" ht="15.75" x14ac:dyDescent="0.25">
      <c r="A31" s="298" t="s">
        <v>389</v>
      </c>
      <c r="B31" s="306" t="s">
        <v>26</v>
      </c>
      <c r="C31" s="306" t="s">
        <v>138</v>
      </c>
      <c r="D31" s="306" t="s">
        <v>139</v>
      </c>
      <c r="E31" s="294"/>
      <c r="F31" s="294"/>
    </row>
    <row r="32" spans="1:6" ht="15.75" x14ac:dyDescent="0.25">
      <c r="A32" s="294" t="s">
        <v>75</v>
      </c>
      <c r="B32" s="294">
        <v>266000</v>
      </c>
      <c r="C32" s="294">
        <v>434000</v>
      </c>
      <c r="D32" s="294">
        <v>294000</v>
      </c>
      <c r="E32" s="294"/>
      <c r="F32" s="294"/>
    </row>
    <row r="33" spans="1:6" ht="15.75" x14ac:dyDescent="0.25">
      <c r="A33" s="294" t="s">
        <v>390</v>
      </c>
      <c r="B33" s="194">
        <f>B32*$B$10</f>
        <v>66500</v>
      </c>
      <c r="C33" s="194">
        <f>C32*B10</f>
        <v>108500</v>
      </c>
      <c r="D33" s="194">
        <f>D32*B10</f>
        <v>73500</v>
      </c>
      <c r="E33" s="294"/>
      <c r="F33" s="294"/>
    </row>
    <row r="34" spans="1:6" ht="15.75" x14ac:dyDescent="0.25">
      <c r="A34" s="294" t="s">
        <v>77</v>
      </c>
      <c r="B34" s="195">
        <f>SUM(B32:B33)</f>
        <v>332500</v>
      </c>
      <c r="C34" s="195">
        <f>SUM(C32:C33)</f>
        <v>542500</v>
      </c>
      <c r="D34" s="195">
        <f>SUM(D32:D33)</f>
        <v>367500</v>
      </c>
      <c r="E34" s="294"/>
      <c r="F34" s="294"/>
    </row>
    <row r="35" spans="1:6" ht="15.75" x14ac:dyDescent="0.25">
      <c r="A35" s="294"/>
      <c r="B35" s="294"/>
      <c r="C35" s="294"/>
      <c r="D35" s="294"/>
      <c r="E35" s="294"/>
      <c r="F35" s="294"/>
    </row>
    <row r="36" spans="1:6" ht="15.75" x14ac:dyDescent="0.25">
      <c r="A36" s="294" t="s">
        <v>243</v>
      </c>
      <c r="B36" s="301">
        <v>1</v>
      </c>
      <c r="C36" s="294"/>
      <c r="D36" s="294"/>
      <c r="E36" s="294"/>
      <c r="F36" s="294"/>
    </row>
    <row r="37" spans="1:6" ht="15.75" x14ac:dyDescent="0.25">
      <c r="A37" s="294" t="s">
        <v>176</v>
      </c>
      <c r="B37" s="294" t="s">
        <v>148</v>
      </c>
      <c r="C37" s="294" t="s">
        <v>419</v>
      </c>
      <c r="D37" s="294"/>
      <c r="E37" s="294"/>
      <c r="F37" s="294"/>
    </row>
    <row r="38" spans="1:6" ht="15.75" x14ac:dyDescent="0.25">
      <c r="A38" s="294" t="s">
        <v>391</v>
      </c>
      <c r="B38" s="294">
        <v>140000</v>
      </c>
      <c r="C38" s="294"/>
      <c r="D38" s="294"/>
      <c r="E38" s="294"/>
      <c r="F38" s="294"/>
    </row>
    <row r="39" spans="1:6" ht="15.75" x14ac:dyDescent="0.25">
      <c r="A39" s="294"/>
      <c r="B39" s="294"/>
      <c r="C39" s="294"/>
      <c r="D39" s="294"/>
      <c r="E39" s="294"/>
      <c r="F39" s="294"/>
    </row>
    <row r="40" spans="1:6" ht="15.75" x14ac:dyDescent="0.25">
      <c r="A40" s="294"/>
      <c r="B40" s="294"/>
      <c r="C40" s="315" t="s">
        <v>423</v>
      </c>
      <c r="D40" s="315"/>
      <c r="E40" s="315"/>
      <c r="F40" s="294"/>
    </row>
    <row r="41" spans="1:6" ht="15.75" x14ac:dyDescent="0.25">
      <c r="A41" s="294"/>
      <c r="B41" s="298" t="s">
        <v>392</v>
      </c>
      <c r="C41" s="294" t="s">
        <v>26</v>
      </c>
      <c r="D41" s="294" t="s">
        <v>138</v>
      </c>
      <c r="E41" s="294" t="s">
        <v>139</v>
      </c>
      <c r="F41" s="294"/>
    </row>
    <row r="42" spans="1:6" ht="15.75" x14ac:dyDescent="0.25">
      <c r="A42" s="294" t="s">
        <v>386</v>
      </c>
      <c r="B42" s="294"/>
      <c r="C42" s="294">
        <f>B38</f>
        <v>140000</v>
      </c>
      <c r="D42" s="294"/>
      <c r="E42" s="294"/>
      <c r="F42" s="294"/>
    </row>
    <row r="43" spans="1:6" ht="15.75" x14ac:dyDescent="0.25">
      <c r="A43" s="294" t="s">
        <v>26</v>
      </c>
      <c r="B43" s="294">
        <f>B34</f>
        <v>332500</v>
      </c>
      <c r="C43" s="294">
        <f>B43/3</f>
        <v>110833.33333333333</v>
      </c>
      <c r="D43" s="294">
        <f>B43*2/3</f>
        <v>221666.66666666666</v>
      </c>
      <c r="E43" s="294"/>
      <c r="F43" s="294"/>
    </row>
    <row r="44" spans="1:6" ht="15.75" x14ac:dyDescent="0.25">
      <c r="A44" s="294" t="s">
        <v>138</v>
      </c>
      <c r="B44" s="294">
        <f>C34</f>
        <v>542500</v>
      </c>
      <c r="C44" s="294"/>
      <c r="D44" s="294">
        <f>B44/3</f>
        <v>180833.33333333334</v>
      </c>
      <c r="E44" s="294">
        <f>B44*2/3</f>
        <v>361666.66666666669</v>
      </c>
      <c r="F44" s="294"/>
    </row>
    <row r="45" spans="1:6" ht="15.75" x14ac:dyDescent="0.25">
      <c r="A45" s="294" t="s">
        <v>139</v>
      </c>
      <c r="B45" s="294">
        <f>D34</f>
        <v>367500</v>
      </c>
      <c r="C45" s="194"/>
      <c r="D45" s="194"/>
      <c r="E45" s="194">
        <f>B45/3</f>
        <v>122500</v>
      </c>
      <c r="F45" s="294"/>
    </row>
    <row r="46" spans="1:6" ht="15.75" x14ac:dyDescent="0.25">
      <c r="A46" s="294" t="s">
        <v>393</v>
      </c>
      <c r="B46" s="294"/>
      <c r="C46" s="295">
        <f>SUM(C42:C45)</f>
        <v>250833.33333333331</v>
      </c>
      <c r="D46" s="295">
        <f>SUM(D42:D45)</f>
        <v>402500</v>
      </c>
      <c r="E46" s="295">
        <f>SUM(E42:E45)</f>
        <v>484166.66666666669</v>
      </c>
      <c r="F46" s="294"/>
    </row>
    <row r="47" spans="1:6" ht="15.75" x14ac:dyDescent="0.25">
      <c r="A47" s="294" t="s">
        <v>414</v>
      </c>
      <c r="B47" s="294"/>
      <c r="C47" s="194">
        <v>250800</v>
      </c>
      <c r="D47" s="194">
        <v>402500</v>
      </c>
      <c r="E47" s="194">
        <v>484200</v>
      </c>
      <c r="F47" s="294"/>
    </row>
    <row r="48" spans="1:6" ht="15.75" x14ac:dyDescent="0.25">
      <c r="A48" s="294"/>
      <c r="B48" s="294"/>
      <c r="C48" s="186"/>
      <c r="D48" s="186"/>
      <c r="E48" s="186"/>
      <c r="F48" s="294"/>
    </row>
    <row r="49" spans="1:6" ht="15.75" x14ac:dyDescent="0.25">
      <c r="A49" s="294" t="s">
        <v>395</v>
      </c>
      <c r="B49" s="294"/>
      <c r="C49" s="186"/>
      <c r="D49" s="186"/>
      <c r="E49" s="186"/>
      <c r="F49" s="294"/>
    </row>
    <row r="50" spans="1:6" ht="15.75" x14ac:dyDescent="0.25">
      <c r="A50" s="294" t="s">
        <v>422</v>
      </c>
      <c r="B50" s="294"/>
      <c r="C50" s="186"/>
      <c r="D50" s="186">
        <v>12605</v>
      </c>
      <c r="E50" s="186"/>
      <c r="F50" s="294"/>
    </row>
    <row r="51" spans="1:6" ht="15.75" x14ac:dyDescent="0.25">
      <c r="A51" s="294" t="s">
        <v>396</v>
      </c>
      <c r="B51" s="294"/>
      <c r="C51" s="186"/>
      <c r="D51" s="194">
        <f>70000*0.141</f>
        <v>9869.9999999999982</v>
      </c>
      <c r="E51" s="186"/>
      <c r="F51" s="294"/>
    </row>
    <row r="52" spans="1:6" ht="15.75" x14ac:dyDescent="0.25">
      <c r="A52" s="294" t="s">
        <v>397</v>
      </c>
      <c r="B52" s="294"/>
      <c r="C52" s="186"/>
      <c r="D52" s="195">
        <f>D50+D51</f>
        <v>22475</v>
      </c>
      <c r="E52" s="186"/>
      <c r="F52" s="294"/>
    </row>
    <row r="53" spans="1:6" ht="15.75" x14ac:dyDescent="0.25">
      <c r="A53" s="294"/>
      <c r="B53" s="294"/>
      <c r="C53" s="186"/>
      <c r="D53" s="186"/>
      <c r="E53" s="186"/>
      <c r="F53" s="294"/>
    </row>
    <row r="54" spans="1:6" ht="15.75" x14ac:dyDescent="0.25">
      <c r="A54" s="294" t="s">
        <v>398</v>
      </c>
      <c r="B54" s="294"/>
      <c r="C54" s="186"/>
      <c r="D54" s="186"/>
      <c r="E54" s="186"/>
      <c r="F54" s="294"/>
    </row>
    <row r="55" spans="1:6" ht="15.75" x14ac:dyDescent="0.25">
      <c r="A55" s="294"/>
      <c r="B55" s="294"/>
      <c r="C55" s="186"/>
      <c r="D55" s="186"/>
      <c r="E55" s="186"/>
      <c r="F55" s="294"/>
    </row>
    <row r="56" spans="1:6" ht="15.75" x14ac:dyDescent="0.25">
      <c r="A56" s="294" t="s">
        <v>399</v>
      </c>
      <c r="B56" s="294">
        <v>200000</v>
      </c>
      <c r="C56" s="186"/>
      <c r="D56" s="186"/>
      <c r="E56" s="186"/>
      <c r="F56" s="294"/>
    </row>
    <row r="57" spans="1:6" ht="15.75" x14ac:dyDescent="0.25">
      <c r="A57" s="294" t="s">
        <v>424</v>
      </c>
      <c r="B57" s="194">
        <v>160000</v>
      </c>
      <c r="C57" s="186"/>
      <c r="D57" s="186"/>
      <c r="E57" s="186"/>
      <c r="F57" s="294"/>
    </row>
    <row r="58" spans="1:6" ht="15.75" x14ac:dyDescent="0.25">
      <c r="A58" s="294" t="s">
        <v>425</v>
      </c>
      <c r="B58" s="294">
        <v>40000</v>
      </c>
      <c r="C58" s="186"/>
      <c r="D58" s="186"/>
      <c r="E58" s="186"/>
      <c r="F58" s="294"/>
    </row>
    <row r="59" spans="1:6" ht="15.75" x14ac:dyDescent="0.25">
      <c r="A59" s="294" t="s">
        <v>400</v>
      </c>
      <c r="B59" s="194">
        <v>30000</v>
      </c>
      <c r="C59" s="186"/>
      <c r="D59" s="186"/>
      <c r="E59" s="186"/>
      <c r="F59" s="294"/>
    </row>
    <row r="60" spans="1:6" ht="15.75" x14ac:dyDescent="0.25">
      <c r="A60" s="294" t="s">
        <v>401</v>
      </c>
      <c r="B60" s="195">
        <v>70000</v>
      </c>
      <c r="C60" s="186"/>
      <c r="D60" s="186"/>
      <c r="E60" s="186"/>
      <c r="F60" s="294"/>
    </row>
    <row r="61" spans="1:6" ht="15.75" x14ac:dyDescent="0.25">
      <c r="A61" s="294"/>
      <c r="B61" s="294"/>
      <c r="C61" s="186"/>
      <c r="D61" s="186"/>
      <c r="E61" s="186"/>
      <c r="F61" s="294"/>
    </row>
    <row r="62" spans="1:6" ht="15.75" x14ac:dyDescent="0.25">
      <c r="A62" s="294"/>
      <c r="B62" s="294"/>
      <c r="C62" s="294"/>
      <c r="D62" s="294"/>
      <c r="E62" s="294"/>
      <c r="F62" s="294"/>
    </row>
    <row r="63" spans="1:6" ht="15.75" x14ac:dyDescent="0.25">
      <c r="A63" s="298" t="s">
        <v>221</v>
      </c>
      <c r="B63" s="205" t="s">
        <v>26</v>
      </c>
      <c r="C63" s="205" t="s">
        <v>138</v>
      </c>
      <c r="D63" s="205" t="s">
        <v>139</v>
      </c>
      <c r="E63" s="205" t="s">
        <v>32</v>
      </c>
      <c r="F63" s="294"/>
    </row>
    <row r="64" spans="1:6" ht="15.75" x14ac:dyDescent="0.25">
      <c r="A64" s="300" t="s">
        <v>51</v>
      </c>
      <c r="B64" s="34"/>
      <c r="C64" s="34"/>
      <c r="D64" s="34"/>
      <c r="E64" s="34"/>
      <c r="F64" s="294"/>
    </row>
    <row r="65" spans="1:9" ht="15.75" x14ac:dyDescent="0.25">
      <c r="A65" s="294" t="s">
        <v>402</v>
      </c>
      <c r="B65" s="34">
        <f>C29</f>
        <v>446250</v>
      </c>
      <c r="C65" s="34">
        <f>D29</f>
        <v>700000</v>
      </c>
      <c r="D65" s="34">
        <f>E29</f>
        <v>587500</v>
      </c>
      <c r="E65" s="34">
        <f>SUM(B65:D65)</f>
        <v>1733750</v>
      </c>
      <c r="F65" s="294"/>
    </row>
    <row r="66" spans="1:9" ht="15.75" x14ac:dyDescent="0.25">
      <c r="A66" s="298" t="s">
        <v>52</v>
      </c>
      <c r="B66" s="34">
        <f>B65</f>
        <v>446250</v>
      </c>
      <c r="C66" s="34">
        <f t="shared" ref="C66:D66" si="4">C65</f>
        <v>700000</v>
      </c>
      <c r="D66" s="34">
        <f t="shared" si="4"/>
        <v>587500</v>
      </c>
      <c r="E66" s="34">
        <f t="shared" ref="E66:E74" si="5">SUM(B66:D66)</f>
        <v>1733750</v>
      </c>
      <c r="F66" s="294"/>
    </row>
    <row r="67" spans="1:9" ht="15.75" x14ac:dyDescent="0.25">
      <c r="A67" s="300" t="s">
        <v>53</v>
      </c>
      <c r="B67" s="34"/>
      <c r="C67" s="34"/>
      <c r="D67" s="34"/>
      <c r="E67" s="34">
        <f t="shared" si="5"/>
        <v>0</v>
      </c>
      <c r="F67" s="294"/>
    </row>
    <row r="68" spans="1:9" ht="15.75" x14ac:dyDescent="0.25">
      <c r="A68" s="294" t="s">
        <v>403</v>
      </c>
      <c r="B68" s="34">
        <f>C47</f>
        <v>250800</v>
      </c>
      <c r="C68" s="34">
        <f>D47</f>
        <v>402500</v>
      </c>
      <c r="D68" s="34">
        <f>E47</f>
        <v>484200</v>
      </c>
      <c r="E68" s="34">
        <f t="shared" si="5"/>
        <v>1137500</v>
      </c>
      <c r="F68" s="294"/>
    </row>
    <row r="69" spans="1:9" ht="15.75" x14ac:dyDescent="0.25">
      <c r="A69" s="294" t="s">
        <v>404</v>
      </c>
      <c r="B69" s="34">
        <v>89400</v>
      </c>
      <c r="C69" s="34">
        <v>70000</v>
      </c>
      <c r="D69" s="34">
        <v>70000</v>
      </c>
      <c r="E69" s="34">
        <f t="shared" si="5"/>
        <v>229400</v>
      </c>
      <c r="F69" s="294"/>
    </row>
    <row r="70" spans="1:9" ht="15.75" x14ac:dyDescent="0.25">
      <c r="A70" s="294" t="s">
        <v>276</v>
      </c>
      <c r="B70" s="34">
        <v>19740</v>
      </c>
      <c r="C70" s="34"/>
      <c r="D70" s="34">
        <f>D52</f>
        <v>22475</v>
      </c>
      <c r="E70" s="34">
        <f t="shared" si="5"/>
        <v>42215</v>
      </c>
      <c r="F70" s="294"/>
    </row>
    <row r="71" spans="1:9" ht="15.75" x14ac:dyDescent="0.25">
      <c r="A71" s="294" t="s">
        <v>405</v>
      </c>
      <c r="B71" s="34">
        <v>50000</v>
      </c>
      <c r="C71" s="34">
        <v>50000</v>
      </c>
      <c r="D71" s="34">
        <v>50000</v>
      </c>
      <c r="E71" s="34">
        <f t="shared" si="5"/>
        <v>150000</v>
      </c>
      <c r="F71" s="294"/>
    </row>
    <row r="72" spans="1:9" ht="15.75" x14ac:dyDescent="0.25">
      <c r="A72" s="294" t="s">
        <v>406</v>
      </c>
      <c r="B72" s="34"/>
      <c r="C72" s="34">
        <v>62500</v>
      </c>
      <c r="D72" s="34"/>
      <c r="E72" s="34">
        <f t="shared" si="5"/>
        <v>62500</v>
      </c>
      <c r="F72" s="294"/>
      <c r="I72" s="294"/>
    </row>
    <row r="73" spans="1:9" ht="15.75" x14ac:dyDescent="0.25">
      <c r="A73" s="294" t="s">
        <v>407</v>
      </c>
      <c r="B73" s="34">
        <v>75000</v>
      </c>
      <c r="C73" s="34"/>
      <c r="D73" s="34"/>
      <c r="E73" s="34">
        <f t="shared" si="5"/>
        <v>75000</v>
      </c>
      <c r="F73" s="294"/>
    </row>
    <row r="74" spans="1:9" ht="16.5" thickBot="1" x14ac:dyDescent="0.3">
      <c r="A74" s="294" t="s">
        <v>408</v>
      </c>
      <c r="B74" s="296">
        <v>30000</v>
      </c>
      <c r="C74" s="296"/>
      <c r="D74" s="296"/>
      <c r="E74" s="296">
        <f t="shared" si="5"/>
        <v>30000</v>
      </c>
      <c r="F74" s="294"/>
    </row>
    <row r="75" spans="1:9" ht="15.75" x14ac:dyDescent="0.25">
      <c r="A75" s="298" t="s">
        <v>55</v>
      </c>
      <c r="B75" s="302">
        <f>SUM(B68:B74)</f>
        <v>514940</v>
      </c>
      <c r="C75" s="302">
        <f t="shared" ref="C75:E75" si="6">SUM(C68:C74)</f>
        <v>585000</v>
      </c>
      <c r="D75" s="302">
        <f t="shared" si="6"/>
        <v>626675</v>
      </c>
      <c r="E75" s="302">
        <f t="shared" si="6"/>
        <v>1726615</v>
      </c>
      <c r="F75" s="294"/>
    </row>
    <row r="76" spans="1:9" ht="15.75" x14ac:dyDescent="0.25">
      <c r="A76" s="294"/>
      <c r="B76" s="34"/>
      <c r="C76" s="12"/>
      <c r="D76" s="34"/>
      <c r="E76" s="302"/>
      <c r="F76" s="294"/>
    </row>
    <row r="77" spans="1:9" ht="15.75" x14ac:dyDescent="0.25">
      <c r="A77" s="294" t="s">
        <v>56</v>
      </c>
      <c r="B77" s="34">
        <f>B66-B75</f>
        <v>-68690</v>
      </c>
      <c r="C77" s="34">
        <f>C66-C75</f>
        <v>115000</v>
      </c>
      <c r="D77" s="34">
        <f>D66-D75</f>
        <v>-39175</v>
      </c>
      <c r="E77" s="302">
        <f>SUM(B77:D77)</f>
        <v>7135</v>
      </c>
      <c r="F77" s="294"/>
    </row>
    <row r="78" spans="1:9" ht="15.75" x14ac:dyDescent="0.25">
      <c r="A78" s="294" t="s">
        <v>264</v>
      </c>
      <c r="B78" s="34">
        <v>70000</v>
      </c>
      <c r="C78" s="34">
        <f>B79</f>
        <v>1310</v>
      </c>
      <c r="D78" s="34">
        <f>C79</f>
        <v>116310</v>
      </c>
      <c r="E78" s="34">
        <f>B78</f>
        <v>70000</v>
      </c>
      <c r="F78" s="294"/>
    </row>
    <row r="79" spans="1:9" ht="16.5" thickBot="1" x14ac:dyDescent="0.3">
      <c r="A79" s="294" t="s">
        <v>265</v>
      </c>
      <c r="B79" s="303">
        <f>B77+B78</f>
        <v>1310</v>
      </c>
      <c r="C79" s="303">
        <f>C77+C78</f>
        <v>116310</v>
      </c>
      <c r="D79" s="303">
        <f>D77+D78</f>
        <v>77135</v>
      </c>
      <c r="E79" s="303">
        <f>E77+E78</f>
        <v>77135</v>
      </c>
      <c r="F79" s="294"/>
    </row>
    <row r="80" spans="1:9" ht="15.75" x14ac:dyDescent="0.25">
      <c r="A80" s="294"/>
      <c r="B80" s="294"/>
      <c r="C80" s="294"/>
      <c r="D80" s="294"/>
      <c r="E80" s="294"/>
      <c r="F80" s="294"/>
    </row>
    <row r="81" spans="1:6" ht="15.75" x14ac:dyDescent="0.25">
      <c r="A81" s="294" t="s">
        <v>415</v>
      </c>
      <c r="B81" s="301">
        <v>0.1</v>
      </c>
      <c r="C81" s="294" t="s">
        <v>416</v>
      </c>
      <c r="D81" s="294"/>
      <c r="E81" s="294"/>
      <c r="F81" s="294"/>
    </row>
    <row r="82" spans="1:6" ht="15.75" x14ac:dyDescent="0.25">
      <c r="A82" s="294"/>
      <c r="B82" s="294"/>
      <c r="C82" s="294"/>
      <c r="D82" s="294"/>
      <c r="E82" s="294"/>
      <c r="F82" s="294"/>
    </row>
    <row r="83" spans="1:6" ht="15.75" x14ac:dyDescent="0.25">
      <c r="A83" s="294"/>
      <c r="B83" s="305" t="s">
        <v>26</v>
      </c>
      <c r="C83" s="305" t="s">
        <v>138</v>
      </c>
      <c r="D83" s="305" t="s">
        <v>139</v>
      </c>
      <c r="E83" s="294"/>
      <c r="F83" s="294"/>
    </row>
    <row r="84" spans="1:6" ht="15.75" x14ac:dyDescent="0.25">
      <c r="A84" s="294" t="s">
        <v>232</v>
      </c>
      <c r="B84" s="294">
        <f>B79</f>
        <v>1310</v>
      </c>
      <c r="C84" s="294">
        <f>C79</f>
        <v>116310</v>
      </c>
      <c r="D84" s="294">
        <f>D79</f>
        <v>77135</v>
      </c>
      <c r="E84" s="294"/>
      <c r="F84" s="294"/>
    </row>
    <row r="85" spans="1:6" ht="15.75" x14ac:dyDescent="0.25">
      <c r="A85" s="294" t="s">
        <v>409</v>
      </c>
      <c r="B85" s="194">
        <f>B15*$B$81</f>
        <v>47500</v>
      </c>
      <c r="C85" s="194">
        <f>C15*B81</f>
        <v>77500</v>
      </c>
      <c r="D85" s="194">
        <f>D15*B81</f>
        <v>52500</v>
      </c>
      <c r="E85" s="186"/>
      <c r="F85" s="294"/>
    </row>
    <row r="86" spans="1:6" ht="15.75" x14ac:dyDescent="0.25">
      <c r="A86" s="294" t="s">
        <v>315</v>
      </c>
      <c r="B86" s="195">
        <f>B84-B85</f>
        <v>-46190</v>
      </c>
      <c r="C86" s="195">
        <f t="shared" ref="C86:D86" si="7">C84-C85</f>
        <v>38810</v>
      </c>
      <c r="D86" s="195">
        <f t="shared" si="7"/>
        <v>24635</v>
      </c>
      <c r="E86" s="294"/>
      <c r="F86" s="294"/>
    </row>
    <row r="87" spans="1:6" ht="15.75" x14ac:dyDescent="0.25">
      <c r="A87" s="294"/>
      <c r="B87" s="294"/>
      <c r="C87" s="294"/>
      <c r="D87" s="294"/>
      <c r="E87" s="294"/>
      <c r="F87" s="294"/>
    </row>
    <row r="88" spans="1:6" ht="15.75" x14ac:dyDescent="0.25">
      <c r="A88" s="294"/>
      <c r="B88" s="294"/>
      <c r="C88" s="294"/>
      <c r="D88" s="294"/>
      <c r="E88" s="294"/>
      <c r="F88" s="294"/>
    </row>
    <row r="89" spans="1:6" ht="15.75" x14ac:dyDescent="0.25">
      <c r="A89" s="294"/>
      <c r="B89" s="294"/>
      <c r="C89" s="294"/>
      <c r="D89" s="294"/>
      <c r="E89" s="294"/>
      <c r="F89" s="294"/>
    </row>
    <row r="90" spans="1:6" ht="15.75" x14ac:dyDescent="0.25">
      <c r="A90" s="294"/>
      <c r="B90" s="294"/>
      <c r="C90" s="294"/>
      <c r="D90" s="294"/>
      <c r="E90" s="294"/>
      <c r="F90" s="294"/>
    </row>
    <row r="91" spans="1:6" ht="15.75" x14ac:dyDescent="0.25">
      <c r="A91" s="294"/>
      <c r="B91" s="294"/>
      <c r="C91" s="294"/>
      <c r="D91" s="294"/>
      <c r="E91" s="294"/>
      <c r="F91" s="294"/>
    </row>
    <row r="92" spans="1:6" ht="15.75" x14ac:dyDescent="0.25">
      <c r="A92" s="294"/>
      <c r="B92" s="294"/>
      <c r="C92" s="294"/>
      <c r="D92" s="294"/>
      <c r="E92" s="294"/>
      <c r="F92" s="294"/>
    </row>
    <row r="93" spans="1:6" ht="15.75" x14ac:dyDescent="0.25">
      <c r="A93" s="298" t="s">
        <v>410</v>
      </c>
      <c r="B93" s="294"/>
      <c r="C93" s="294"/>
      <c r="D93" s="294"/>
      <c r="E93" s="294"/>
      <c r="F93" s="294"/>
    </row>
    <row r="94" spans="1:6" ht="15.75" x14ac:dyDescent="0.25">
      <c r="A94" s="294" t="s">
        <v>411</v>
      </c>
      <c r="B94" s="294"/>
      <c r="C94" s="294"/>
      <c r="D94" s="294"/>
      <c r="E94" s="294"/>
      <c r="F94" s="294"/>
    </row>
    <row r="95" spans="1:6" ht="15.75" x14ac:dyDescent="0.25">
      <c r="A95" s="294"/>
      <c r="B95" s="294"/>
      <c r="C95" s="294"/>
      <c r="D95" s="294"/>
      <c r="E95" s="294"/>
      <c r="F95" s="294"/>
    </row>
    <row r="96" spans="1:6" ht="15.75" x14ac:dyDescent="0.25">
      <c r="A96" s="294" t="s">
        <v>243</v>
      </c>
      <c r="B96" s="301">
        <v>1</v>
      </c>
      <c r="C96" s="294"/>
      <c r="D96" s="294"/>
      <c r="E96" s="294"/>
      <c r="F96" s="294"/>
    </row>
    <row r="97" spans="1:6" ht="15.75" x14ac:dyDescent="0.25">
      <c r="A97" s="294" t="s">
        <v>176</v>
      </c>
      <c r="B97" s="294" t="s">
        <v>149</v>
      </c>
      <c r="C97" s="294" t="s">
        <v>420</v>
      </c>
      <c r="D97" s="294"/>
      <c r="E97" s="294"/>
      <c r="F97" s="294"/>
    </row>
    <row r="98" spans="1:6" ht="15.75" x14ac:dyDescent="0.25">
      <c r="A98" s="294" t="s">
        <v>391</v>
      </c>
      <c r="B98" s="294">
        <v>140000</v>
      </c>
      <c r="C98" s="294"/>
      <c r="D98" s="294"/>
      <c r="E98" s="294"/>
      <c r="F98" s="294"/>
    </row>
    <row r="99" spans="1:6" ht="15.75" x14ac:dyDescent="0.25">
      <c r="A99" s="294"/>
      <c r="B99" s="294"/>
      <c r="C99" s="294"/>
      <c r="D99" s="294"/>
      <c r="E99" s="294"/>
      <c r="F99" s="294"/>
    </row>
    <row r="100" spans="1:6" ht="15.75" x14ac:dyDescent="0.25">
      <c r="A100" s="294"/>
      <c r="B100" s="294"/>
      <c r="C100" s="317" t="s">
        <v>413</v>
      </c>
      <c r="D100" s="317"/>
      <c r="E100" s="317"/>
      <c r="F100" s="294"/>
    </row>
    <row r="101" spans="1:6" ht="15.75" x14ac:dyDescent="0.25">
      <c r="A101" s="294"/>
      <c r="B101" s="294" t="s">
        <v>392</v>
      </c>
      <c r="C101" s="294" t="s">
        <v>26</v>
      </c>
      <c r="D101" s="294" t="s">
        <v>138</v>
      </c>
      <c r="E101" s="294" t="s">
        <v>139</v>
      </c>
      <c r="F101" s="294"/>
    </row>
    <row r="102" spans="1:6" ht="15.75" x14ac:dyDescent="0.25">
      <c r="A102" s="294" t="s">
        <v>417</v>
      </c>
      <c r="B102" s="294">
        <v>140000</v>
      </c>
      <c r="C102" s="294">
        <v>140000</v>
      </c>
      <c r="D102" s="294"/>
      <c r="E102" s="294"/>
      <c r="F102" s="294"/>
    </row>
    <row r="103" spans="1:6" ht="15.75" x14ac:dyDescent="0.25">
      <c r="A103" s="294" t="s">
        <v>26</v>
      </c>
      <c r="B103" s="294">
        <v>332500</v>
      </c>
      <c r="C103" s="294">
        <f>B103*5/6</f>
        <v>277083.33333333331</v>
      </c>
      <c r="D103" s="294">
        <f>B103/6</f>
        <v>55416.666666666664</v>
      </c>
      <c r="E103" s="294"/>
      <c r="F103" s="294"/>
    </row>
    <row r="104" spans="1:6" ht="15.75" x14ac:dyDescent="0.25">
      <c r="A104" s="294" t="s">
        <v>138</v>
      </c>
      <c r="B104" s="294">
        <v>542500</v>
      </c>
      <c r="C104" s="294"/>
      <c r="D104" s="294">
        <f>B104*5/6</f>
        <v>452083.33333333331</v>
      </c>
      <c r="E104" s="294">
        <f>B104/6</f>
        <v>90416.666666666672</v>
      </c>
      <c r="F104" s="294"/>
    </row>
    <row r="105" spans="1:6" ht="15.75" x14ac:dyDescent="0.25">
      <c r="A105" s="294" t="s">
        <v>139</v>
      </c>
      <c r="B105" s="294">
        <v>367500</v>
      </c>
      <c r="C105" s="194"/>
      <c r="D105" s="194"/>
      <c r="E105" s="194">
        <f>B105*5/6</f>
        <v>306250</v>
      </c>
      <c r="F105" s="294"/>
    </row>
    <row r="106" spans="1:6" ht="15.75" x14ac:dyDescent="0.25">
      <c r="A106" s="294" t="s">
        <v>393</v>
      </c>
      <c r="B106" s="294"/>
      <c r="C106" s="295">
        <f>SUM(C102:C105)</f>
        <v>417083.33333333331</v>
      </c>
      <c r="D106" s="295">
        <f t="shared" ref="D106:E106" si="8">SUM(D102:D105)</f>
        <v>507500</v>
      </c>
      <c r="E106" s="295">
        <f t="shared" si="8"/>
        <v>396666.66666666669</v>
      </c>
      <c r="F106" s="294"/>
    </row>
    <row r="107" spans="1:6" ht="15.75" x14ac:dyDescent="0.25">
      <c r="A107" s="294" t="s">
        <v>394</v>
      </c>
      <c r="B107" s="294"/>
      <c r="C107" s="194">
        <v>417100</v>
      </c>
      <c r="D107" s="194">
        <v>507500</v>
      </c>
      <c r="E107" s="194">
        <v>396700</v>
      </c>
      <c r="F107" s="294"/>
    </row>
    <row r="108" spans="1:6" ht="15.75" x14ac:dyDescent="0.25">
      <c r="A108" s="294"/>
      <c r="B108" s="294"/>
      <c r="C108" s="186"/>
      <c r="D108" s="186"/>
      <c r="E108" s="186"/>
      <c r="F108" s="294"/>
    </row>
    <row r="109" spans="1:6" ht="15.75" x14ac:dyDescent="0.25">
      <c r="A109" s="294" t="s">
        <v>412</v>
      </c>
      <c r="B109" s="294"/>
      <c r="C109" s="294"/>
      <c r="D109" s="294"/>
      <c r="E109" s="294"/>
      <c r="F109" s="294"/>
    </row>
    <row r="110" spans="1:6" ht="15.75" x14ac:dyDescent="0.25">
      <c r="A110" s="294"/>
      <c r="B110" s="294"/>
      <c r="C110" s="294"/>
      <c r="D110" s="294"/>
      <c r="E110" s="294"/>
      <c r="F110" s="294"/>
    </row>
    <row r="111" spans="1:6" ht="15.75" x14ac:dyDescent="0.25">
      <c r="A111" s="298" t="s">
        <v>221</v>
      </c>
      <c r="B111" s="205" t="s">
        <v>26</v>
      </c>
      <c r="C111" s="205" t="s">
        <v>138</v>
      </c>
      <c r="D111" s="205" t="s">
        <v>139</v>
      </c>
      <c r="E111" s="205" t="s">
        <v>32</v>
      </c>
      <c r="F111" s="294"/>
    </row>
    <row r="112" spans="1:6" ht="15.75" x14ac:dyDescent="0.25">
      <c r="A112" s="300" t="s">
        <v>51</v>
      </c>
      <c r="B112" s="34"/>
      <c r="C112" s="34"/>
      <c r="D112" s="34"/>
      <c r="E112" s="34"/>
      <c r="F112" s="294"/>
    </row>
    <row r="113" spans="1:6" ht="15.75" x14ac:dyDescent="0.25">
      <c r="A113" s="294" t="s">
        <v>402</v>
      </c>
      <c r="B113" s="34">
        <f>C29</f>
        <v>446250</v>
      </c>
      <c r="C113" s="34">
        <f>D29</f>
        <v>700000</v>
      </c>
      <c r="D113" s="34">
        <f>E29</f>
        <v>587500</v>
      </c>
      <c r="E113" s="34">
        <f>SUM(B113:D113)</f>
        <v>1733750</v>
      </c>
      <c r="F113" s="294"/>
    </row>
    <row r="114" spans="1:6" ht="16.5" thickBot="1" x14ac:dyDescent="0.3">
      <c r="A114" s="298" t="s">
        <v>52</v>
      </c>
      <c r="B114" s="296">
        <f>B113</f>
        <v>446250</v>
      </c>
      <c r="C114" s="296">
        <f t="shared" ref="C114:D114" si="9">C113</f>
        <v>700000</v>
      </c>
      <c r="D114" s="296">
        <f t="shared" si="9"/>
        <v>587500</v>
      </c>
      <c r="E114" s="296">
        <f t="shared" ref="E114:E125" si="10">SUM(B114:D114)</f>
        <v>1733750</v>
      </c>
      <c r="F114" s="294"/>
    </row>
    <row r="115" spans="1:6" ht="15.75" x14ac:dyDescent="0.25">
      <c r="A115" s="300" t="s">
        <v>53</v>
      </c>
      <c r="B115" s="33"/>
      <c r="C115" s="33"/>
      <c r="D115" s="33"/>
      <c r="E115" s="33"/>
      <c r="F115" s="294"/>
    </row>
    <row r="116" spans="1:6" ht="15.75" x14ac:dyDescent="0.25">
      <c r="A116" s="294" t="s">
        <v>403</v>
      </c>
      <c r="B116" s="34">
        <f>C107</f>
        <v>417100</v>
      </c>
      <c r="C116" s="34">
        <f>D107</f>
        <v>507500</v>
      </c>
      <c r="D116" s="34">
        <f>E107</f>
        <v>396700</v>
      </c>
      <c r="E116" s="34">
        <f t="shared" si="10"/>
        <v>1321300</v>
      </c>
      <c r="F116" s="294"/>
    </row>
    <row r="117" spans="1:6" ht="15.75" x14ac:dyDescent="0.25">
      <c r="A117" s="294" t="s">
        <v>404</v>
      </c>
      <c r="B117" s="34">
        <v>89400</v>
      </c>
      <c r="C117" s="34">
        <v>70000</v>
      </c>
      <c r="D117" s="34">
        <v>70000</v>
      </c>
      <c r="E117" s="34">
        <f t="shared" si="10"/>
        <v>229400</v>
      </c>
      <c r="F117" s="294"/>
    </row>
    <row r="118" spans="1:6" ht="15.75" x14ac:dyDescent="0.25">
      <c r="A118" s="294" t="s">
        <v>276</v>
      </c>
      <c r="B118" s="34">
        <v>19740</v>
      </c>
      <c r="C118" s="34"/>
      <c r="D118" s="34">
        <v>22475</v>
      </c>
      <c r="E118" s="34">
        <f t="shared" si="10"/>
        <v>42215</v>
      </c>
      <c r="F118" s="294"/>
    </row>
    <row r="119" spans="1:6" ht="15.75" x14ac:dyDescent="0.25">
      <c r="A119" s="294" t="s">
        <v>405</v>
      </c>
      <c r="B119" s="34">
        <v>50000</v>
      </c>
      <c r="C119" s="34">
        <v>50000</v>
      </c>
      <c r="D119" s="34">
        <v>50000</v>
      </c>
      <c r="E119" s="34">
        <f t="shared" si="10"/>
        <v>150000</v>
      </c>
      <c r="F119" s="294"/>
    </row>
    <row r="120" spans="1:6" ht="15.75" x14ac:dyDescent="0.25">
      <c r="A120" s="294" t="s">
        <v>406</v>
      </c>
      <c r="B120" s="34"/>
      <c r="C120" s="34">
        <v>62500</v>
      </c>
      <c r="D120" s="34"/>
      <c r="E120" s="34">
        <f t="shared" si="10"/>
        <v>62500</v>
      </c>
      <c r="F120" s="294"/>
    </row>
    <row r="121" spans="1:6" ht="15.75" x14ac:dyDescent="0.25">
      <c r="A121" s="294" t="s">
        <v>407</v>
      </c>
      <c r="B121" s="34">
        <v>75000</v>
      </c>
      <c r="C121" s="34"/>
      <c r="D121" s="34"/>
      <c r="E121" s="34">
        <f t="shared" si="10"/>
        <v>75000</v>
      </c>
      <c r="F121" s="294"/>
    </row>
    <row r="122" spans="1:6" ht="15.75" x14ac:dyDescent="0.25">
      <c r="A122" s="294" t="s">
        <v>408</v>
      </c>
      <c r="B122" s="34">
        <v>30000</v>
      </c>
      <c r="C122" s="34"/>
      <c r="D122" s="34"/>
      <c r="E122" s="34">
        <f t="shared" si="10"/>
        <v>30000</v>
      </c>
      <c r="F122" s="294"/>
    </row>
    <row r="123" spans="1:6" ht="16.5" thickBot="1" x14ac:dyDescent="0.3">
      <c r="A123" s="298" t="s">
        <v>55</v>
      </c>
      <c r="B123" s="296">
        <f>SUM(B116:B122)</f>
        <v>681240</v>
      </c>
      <c r="C123" s="296">
        <f t="shared" ref="C123:D123" si="11">SUM(C116:C122)</f>
        <v>690000</v>
      </c>
      <c r="D123" s="296">
        <f t="shared" si="11"/>
        <v>539175</v>
      </c>
      <c r="E123" s="296">
        <f t="shared" si="10"/>
        <v>1910415</v>
      </c>
      <c r="F123" s="294"/>
    </row>
    <row r="124" spans="1:6" ht="15.75" x14ac:dyDescent="0.25">
      <c r="A124" s="294"/>
      <c r="B124" s="33"/>
      <c r="C124" s="33"/>
      <c r="D124" s="33"/>
      <c r="E124" s="33"/>
      <c r="F124" s="294"/>
    </row>
    <row r="125" spans="1:6" ht="15.75" x14ac:dyDescent="0.25">
      <c r="A125" s="294" t="s">
        <v>56</v>
      </c>
      <c r="B125" s="34">
        <f>B114-B123</f>
        <v>-234990</v>
      </c>
      <c r="C125" s="34">
        <f t="shared" ref="C125:D125" si="12">C114-C123</f>
        <v>10000</v>
      </c>
      <c r="D125" s="34">
        <f t="shared" si="12"/>
        <v>48325</v>
      </c>
      <c r="E125" s="34">
        <f t="shared" si="10"/>
        <v>-176665</v>
      </c>
      <c r="F125" s="294"/>
    </row>
    <row r="126" spans="1:6" ht="15.75" x14ac:dyDescent="0.25">
      <c r="A126" s="294" t="s">
        <v>264</v>
      </c>
      <c r="B126" s="34">
        <v>70000</v>
      </c>
      <c r="C126" s="34">
        <f>B127</f>
        <v>-164990</v>
      </c>
      <c r="D126" s="34">
        <f>C127</f>
        <v>-154990</v>
      </c>
      <c r="E126" s="34">
        <v>70000</v>
      </c>
      <c r="F126" s="294"/>
    </row>
    <row r="127" spans="1:6" ht="16.5" thickBot="1" x14ac:dyDescent="0.3">
      <c r="A127" s="298" t="s">
        <v>265</v>
      </c>
      <c r="B127" s="296">
        <f>B125+B126</f>
        <v>-164990</v>
      </c>
      <c r="C127" s="296">
        <f t="shared" ref="C127:D127" si="13">C125+C126</f>
        <v>-154990</v>
      </c>
      <c r="D127" s="296">
        <f t="shared" si="13"/>
        <v>-106665</v>
      </c>
      <c r="E127" s="296">
        <f>E125+E126</f>
        <v>-106665</v>
      </c>
      <c r="F127" s="294"/>
    </row>
    <row r="128" spans="1:6" ht="15.75" x14ac:dyDescent="0.25">
      <c r="A128" s="294"/>
      <c r="B128" s="294"/>
      <c r="C128" s="294"/>
      <c r="D128" s="294"/>
      <c r="E128" s="294"/>
      <c r="F128" s="294"/>
    </row>
    <row r="129" spans="1:6" ht="15.75" x14ac:dyDescent="0.25">
      <c r="A129" s="294"/>
      <c r="B129" s="294"/>
      <c r="C129" s="294"/>
      <c r="D129" s="294"/>
      <c r="E129" s="294"/>
      <c r="F129" s="294"/>
    </row>
    <row r="130" spans="1:6" ht="15.75" x14ac:dyDescent="0.25">
      <c r="A130" s="294"/>
      <c r="B130" s="294"/>
      <c r="C130" s="294"/>
      <c r="D130" s="294"/>
      <c r="E130" s="294"/>
      <c r="F130" s="294"/>
    </row>
    <row r="131" spans="1:6" ht="15.75" x14ac:dyDescent="0.25">
      <c r="A131" s="294"/>
      <c r="B131" s="294"/>
      <c r="C131" s="294"/>
      <c r="D131" s="294"/>
      <c r="E131" s="294"/>
      <c r="F131" s="294"/>
    </row>
    <row r="132" spans="1:6" ht="15.75" x14ac:dyDescent="0.25">
      <c r="A132" s="294"/>
      <c r="B132" s="294"/>
      <c r="C132" s="294"/>
      <c r="D132" s="294"/>
      <c r="E132" s="294"/>
      <c r="F132" s="294"/>
    </row>
    <row r="133" spans="1:6" ht="15.75" x14ac:dyDescent="0.25">
      <c r="A133" s="294"/>
      <c r="B133" s="294"/>
      <c r="C133" s="294"/>
      <c r="D133" s="294"/>
      <c r="E133" s="294"/>
      <c r="F133" s="294"/>
    </row>
    <row r="134" spans="1:6" ht="15.75" x14ac:dyDescent="0.25">
      <c r="A134" s="294"/>
      <c r="B134" s="294"/>
      <c r="C134" s="294"/>
      <c r="D134" s="294"/>
      <c r="E134" s="294"/>
      <c r="F134" s="294"/>
    </row>
    <row r="135" spans="1:6" ht="15.75" x14ac:dyDescent="0.25">
      <c r="A135" s="294"/>
      <c r="B135" s="294"/>
      <c r="C135" s="294"/>
      <c r="D135" s="294"/>
      <c r="E135" s="294"/>
      <c r="F135" s="294"/>
    </row>
    <row r="136" spans="1:6" ht="15.75" x14ac:dyDescent="0.25">
      <c r="A136" s="294"/>
      <c r="B136" s="294"/>
      <c r="C136" s="294"/>
      <c r="D136" s="294"/>
      <c r="E136" s="294"/>
      <c r="F136" s="294"/>
    </row>
    <row r="137" spans="1:6" ht="15.75" x14ac:dyDescent="0.25">
      <c r="A137" s="294"/>
      <c r="B137" s="294"/>
      <c r="C137" s="294"/>
      <c r="D137" s="294"/>
      <c r="E137" s="294"/>
      <c r="F137" s="294"/>
    </row>
    <row r="138" spans="1:6" ht="15.75" x14ac:dyDescent="0.25">
      <c r="A138" s="294"/>
      <c r="B138" s="294"/>
      <c r="C138" s="294"/>
      <c r="D138" s="294"/>
      <c r="E138" s="294"/>
      <c r="F138" s="294"/>
    </row>
    <row r="139" spans="1:6" ht="15.75" x14ac:dyDescent="0.25">
      <c r="A139" s="294"/>
      <c r="B139" s="294"/>
      <c r="C139" s="294"/>
      <c r="D139" s="294"/>
      <c r="E139" s="294"/>
      <c r="F139" s="294"/>
    </row>
    <row r="140" spans="1:6" ht="15.75" x14ac:dyDescent="0.25">
      <c r="A140" s="294"/>
      <c r="B140" s="294"/>
      <c r="C140" s="294"/>
      <c r="D140" s="294"/>
      <c r="E140" s="294"/>
      <c r="F140" s="294"/>
    </row>
  </sheetData>
  <mergeCells count="3">
    <mergeCell ref="C40:E40"/>
    <mergeCell ref="C21:E21"/>
    <mergeCell ref="C100:E10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33"/>
  <sheetViews>
    <sheetView workbookViewId="0">
      <selection activeCell="H22" sqref="H22"/>
    </sheetView>
  </sheetViews>
  <sheetFormatPr baseColWidth="10" defaultRowHeight="15" x14ac:dyDescent="0.25"/>
  <cols>
    <col min="1" max="1" width="35.5703125" bestFit="1" customWidth="1"/>
  </cols>
  <sheetData>
    <row r="5" spans="1:5" ht="18.75" x14ac:dyDescent="0.3">
      <c r="A5" s="278" t="s">
        <v>372</v>
      </c>
    </row>
    <row r="6" spans="1:5" x14ac:dyDescent="0.25">
      <c r="A6" s="20"/>
    </row>
    <row r="7" spans="1:5" x14ac:dyDescent="0.25">
      <c r="A7" t="s">
        <v>371</v>
      </c>
    </row>
    <row r="8" spans="1:5" ht="15.75" x14ac:dyDescent="0.25">
      <c r="A8" s="53" t="s">
        <v>271</v>
      </c>
      <c r="B8" t="s">
        <v>26</v>
      </c>
      <c r="C8" t="s">
        <v>138</v>
      </c>
      <c r="D8" t="s">
        <v>139</v>
      </c>
      <c r="E8" t="s">
        <v>272</v>
      </c>
    </row>
    <row r="9" spans="1:5" x14ac:dyDescent="0.25">
      <c r="A9" s="22" t="s">
        <v>267</v>
      </c>
    </row>
    <row r="10" spans="1:5" x14ac:dyDescent="0.25">
      <c r="A10" t="s">
        <v>5</v>
      </c>
      <c r="B10" s="3">
        <v>380000</v>
      </c>
      <c r="C10" s="3">
        <v>620000</v>
      </c>
      <c r="D10" s="3">
        <v>420000</v>
      </c>
      <c r="E10" s="3">
        <f>SUM(B10:D10)</f>
        <v>1420000</v>
      </c>
    </row>
    <row r="11" spans="1:5" x14ac:dyDescent="0.25">
      <c r="A11" t="s">
        <v>273</v>
      </c>
      <c r="B11" s="8">
        <f>B10</f>
        <v>380000</v>
      </c>
      <c r="C11" s="8">
        <f>C10</f>
        <v>620000</v>
      </c>
      <c r="D11" s="8">
        <f>D10</f>
        <v>420000</v>
      </c>
      <c r="E11" s="8">
        <f t="shared" ref="E11:E17" si="0">SUM(B11:D11)</f>
        <v>1420000</v>
      </c>
    </row>
    <row r="12" spans="1:5" x14ac:dyDescent="0.25">
      <c r="A12" s="22" t="s">
        <v>268</v>
      </c>
      <c r="E12" s="13"/>
    </row>
    <row r="13" spans="1:5" x14ac:dyDescent="0.25">
      <c r="A13" t="s">
        <v>274</v>
      </c>
      <c r="B13" s="2">
        <v>266000</v>
      </c>
      <c r="C13" s="2">
        <v>434000</v>
      </c>
      <c r="D13" s="2">
        <v>294000</v>
      </c>
      <c r="E13" s="13">
        <f t="shared" si="0"/>
        <v>994000</v>
      </c>
    </row>
    <row r="14" spans="1:5" x14ac:dyDescent="0.25">
      <c r="A14" t="s">
        <v>38</v>
      </c>
      <c r="B14" s="2"/>
      <c r="C14" s="2">
        <v>89450</v>
      </c>
      <c r="D14" s="2">
        <v>89450</v>
      </c>
      <c r="E14" s="13">
        <f t="shared" si="0"/>
        <v>178900</v>
      </c>
    </row>
    <row r="15" spans="1:5" x14ac:dyDescent="0.25">
      <c r="A15" t="s">
        <v>29</v>
      </c>
      <c r="B15" s="2">
        <v>6000</v>
      </c>
      <c r="C15" s="2">
        <v>6000</v>
      </c>
      <c r="D15" s="2">
        <v>6000</v>
      </c>
      <c r="E15" s="13">
        <f t="shared" si="0"/>
        <v>18000</v>
      </c>
    </row>
    <row r="16" spans="1:5" x14ac:dyDescent="0.25">
      <c r="A16" t="s">
        <v>275</v>
      </c>
      <c r="B16" s="3">
        <v>40000</v>
      </c>
      <c r="C16" s="3">
        <v>40000</v>
      </c>
      <c r="D16" s="3">
        <v>40000</v>
      </c>
      <c r="E16" s="3">
        <f t="shared" si="0"/>
        <v>120000</v>
      </c>
    </row>
    <row r="17" spans="1:5" x14ac:dyDescent="0.25">
      <c r="A17" t="s">
        <v>30</v>
      </c>
      <c r="B17" s="8">
        <f>SUM(B13:B16)</f>
        <v>312000</v>
      </c>
      <c r="C17" s="8">
        <f t="shared" ref="C17:D17" si="1">SUM(C13:C16)</f>
        <v>569450</v>
      </c>
      <c r="D17" s="8">
        <f t="shared" si="1"/>
        <v>429450</v>
      </c>
      <c r="E17" s="3">
        <f t="shared" si="0"/>
        <v>1310900</v>
      </c>
    </row>
    <row r="18" spans="1:5" x14ac:dyDescent="0.25">
      <c r="A18" s="20" t="s">
        <v>106</v>
      </c>
      <c r="B18" s="182">
        <f>B11-B17</f>
        <v>68000</v>
      </c>
      <c r="C18" s="182">
        <f t="shared" ref="C18:E18" si="2">C11-C17</f>
        <v>50550</v>
      </c>
      <c r="D18" s="182">
        <f t="shared" si="2"/>
        <v>-9450</v>
      </c>
      <c r="E18" s="182">
        <f t="shared" si="2"/>
        <v>109100</v>
      </c>
    </row>
    <row r="19" spans="1:5" x14ac:dyDescent="0.25">
      <c r="A19" t="s">
        <v>282</v>
      </c>
      <c r="B19" s="10">
        <f>7800/12</f>
        <v>650</v>
      </c>
      <c r="C19" s="181">
        <v>650</v>
      </c>
      <c r="D19" s="181">
        <v>650</v>
      </c>
      <c r="E19" s="13">
        <f>SUM(B19:D19)</f>
        <v>1950</v>
      </c>
    </row>
    <row r="20" spans="1:5" ht="15.75" thickBot="1" x14ac:dyDescent="0.3">
      <c r="A20" s="183" t="s">
        <v>110</v>
      </c>
      <c r="B20" s="184">
        <f>B18-B19</f>
        <v>67350</v>
      </c>
      <c r="C20" s="184">
        <f>C18-C19</f>
        <v>49900</v>
      </c>
      <c r="D20" s="184">
        <f>D18-D19</f>
        <v>-10100</v>
      </c>
      <c r="E20" s="184">
        <f>E18-E19</f>
        <v>107150</v>
      </c>
    </row>
    <row r="22" spans="1:5" x14ac:dyDescent="0.25">
      <c r="A22" t="s">
        <v>281</v>
      </c>
    </row>
    <row r="23" spans="1:5" x14ac:dyDescent="0.25">
      <c r="A23" t="s">
        <v>276</v>
      </c>
      <c r="B23" s="179">
        <v>0.14099999999999999</v>
      </c>
    </row>
    <row r="24" spans="1:5" x14ac:dyDescent="0.25">
      <c r="A24" t="s">
        <v>277</v>
      </c>
      <c r="B24" s="1">
        <v>0.12</v>
      </c>
    </row>
    <row r="26" spans="1:5" x14ac:dyDescent="0.25">
      <c r="A26" t="s">
        <v>278</v>
      </c>
      <c r="B26" s="2">
        <v>70000</v>
      </c>
    </row>
    <row r="27" spans="1:5" x14ac:dyDescent="0.25">
      <c r="A27" t="s">
        <v>277</v>
      </c>
      <c r="B27">
        <f>B26*B24</f>
        <v>8400</v>
      </c>
    </row>
    <row r="28" spans="1:5" x14ac:dyDescent="0.25">
      <c r="A28" t="s">
        <v>28</v>
      </c>
      <c r="B28">
        <f>B26*B23</f>
        <v>9869.9999999999982</v>
      </c>
    </row>
    <row r="29" spans="1:5" x14ac:dyDescent="0.25">
      <c r="A29" t="s">
        <v>279</v>
      </c>
      <c r="B29" s="180">
        <f>B27*B23</f>
        <v>1184.3999999999999</v>
      </c>
    </row>
    <row r="30" spans="1:5" x14ac:dyDescent="0.25">
      <c r="A30" t="s">
        <v>280</v>
      </c>
      <c r="B30" s="2">
        <f>SUM(B26:B29)</f>
        <v>89454.399999999994</v>
      </c>
      <c r="C30" t="s">
        <v>284</v>
      </c>
      <c r="D30" s="2">
        <v>89450</v>
      </c>
    </row>
    <row r="32" spans="1:5" x14ac:dyDescent="0.25">
      <c r="A32" s="277" t="s">
        <v>373</v>
      </c>
    </row>
    <row r="33" spans="1:1" x14ac:dyDescent="0.25">
      <c r="A33" t="s">
        <v>283</v>
      </c>
    </row>
  </sheetData>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82"/>
  <sheetViews>
    <sheetView workbookViewId="0">
      <selection activeCell="B11" sqref="B11"/>
    </sheetView>
  </sheetViews>
  <sheetFormatPr baseColWidth="10" defaultRowHeight="15" x14ac:dyDescent="0.25"/>
  <cols>
    <col min="1" max="1" width="28.5703125" bestFit="1" customWidth="1"/>
    <col min="2" max="2" width="13.5703125" customWidth="1"/>
    <col min="3" max="3" width="14" customWidth="1"/>
    <col min="4" max="4" width="13" customWidth="1"/>
    <col min="5" max="6" width="12.7109375" customWidth="1"/>
  </cols>
  <sheetData>
    <row r="5" spans="1:6" ht="18.75" x14ac:dyDescent="0.3">
      <c r="A5" s="278" t="s">
        <v>375</v>
      </c>
    </row>
    <row r="6" spans="1:6" ht="15.75" x14ac:dyDescent="0.25">
      <c r="A6" s="53"/>
    </row>
    <row r="7" spans="1:6" ht="15.75" x14ac:dyDescent="0.25">
      <c r="A7" s="51" t="s">
        <v>374</v>
      </c>
    </row>
    <row r="8" spans="1:6" ht="15.75" x14ac:dyDescent="0.25">
      <c r="A8" s="53" t="s">
        <v>287</v>
      </c>
    </row>
    <row r="10" spans="1:6" s="51" customFormat="1" ht="15.75" x14ac:dyDescent="0.25">
      <c r="B10" s="307" t="s">
        <v>91</v>
      </c>
      <c r="C10" s="308"/>
      <c r="D10" s="48" t="s">
        <v>92</v>
      </c>
      <c r="E10" s="308" t="s">
        <v>93</v>
      </c>
      <c r="F10" s="309"/>
    </row>
    <row r="11" spans="1:6" ht="15.75" x14ac:dyDescent="0.25">
      <c r="A11" s="26"/>
      <c r="B11" s="279" t="s">
        <v>111</v>
      </c>
      <c r="C11" s="49" t="s">
        <v>95</v>
      </c>
      <c r="D11" s="49" t="s">
        <v>96</v>
      </c>
      <c r="E11" s="49" t="s">
        <v>285</v>
      </c>
      <c r="F11" s="49" t="s">
        <v>95</v>
      </c>
    </row>
    <row r="12" spans="1:6" ht="15.75" x14ac:dyDescent="0.25">
      <c r="A12" s="26"/>
      <c r="B12" s="50">
        <v>2014</v>
      </c>
      <c r="C12" s="50" t="s">
        <v>97</v>
      </c>
      <c r="D12" s="50" t="s">
        <v>98</v>
      </c>
      <c r="E12" s="50">
        <v>2014</v>
      </c>
      <c r="F12" s="50" t="s">
        <v>97</v>
      </c>
    </row>
    <row r="13" spans="1:6" ht="15.75" x14ac:dyDescent="0.25">
      <c r="A13" s="27" t="s">
        <v>5</v>
      </c>
      <c r="B13" s="28">
        <v>6275000</v>
      </c>
      <c r="C13" s="29">
        <f>B13/$B$13</f>
        <v>1</v>
      </c>
      <c r="D13" s="30">
        <v>0.2</v>
      </c>
      <c r="E13" s="28">
        <f>B13*(1+D13)</f>
        <v>7530000</v>
      </c>
      <c r="F13" s="31">
        <f>E13/$E$13</f>
        <v>1</v>
      </c>
    </row>
    <row r="14" spans="1:6" ht="15.75" x14ac:dyDescent="0.25">
      <c r="A14" s="32" t="s">
        <v>286</v>
      </c>
      <c r="B14" s="33">
        <v>5020000</v>
      </c>
      <c r="C14" s="35">
        <f t="shared" ref="C14:C23" si="0">B14/$B$13</f>
        <v>0.8</v>
      </c>
      <c r="D14" s="33"/>
      <c r="E14" s="33">
        <f>E13*0.815</f>
        <v>6136950</v>
      </c>
      <c r="F14" s="36">
        <f t="shared" ref="F14:F23" si="1">E14/$E$13</f>
        <v>0.81499999999999995</v>
      </c>
    </row>
    <row r="15" spans="1:6" ht="15.75" x14ac:dyDescent="0.25">
      <c r="A15" s="27" t="s">
        <v>62</v>
      </c>
      <c r="B15" s="34">
        <f>B13-B14</f>
        <v>1255000</v>
      </c>
      <c r="C15" s="39">
        <f t="shared" si="0"/>
        <v>0.2</v>
      </c>
      <c r="D15" s="34"/>
      <c r="E15" s="34">
        <f>E13-E14</f>
        <v>1393050</v>
      </c>
      <c r="F15" s="40">
        <f t="shared" si="1"/>
        <v>0.185</v>
      </c>
    </row>
    <row r="16" spans="1:6" ht="15.75" x14ac:dyDescent="0.25">
      <c r="A16" s="52" t="s">
        <v>108</v>
      </c>
      <c r="B16" s="28"/>
      <c r="C16" s="29"/>
      <c r="D16" s="28"/>
      <c r="E16" s="28"/>
      <c r="F16" s="31"/>
    </row>
    <row r="17" spans="1:6" ht="15.75" x14ac:dyDescent="0.25">
      <c r="A17" s="32" t="s">
        <v>38</v>
      </c>
      <c r="B17" s="28">
        <v>650000</v>
      </c>
      <c r="C17" s="29">
        <f t="shared" si="0"/>
        <v>0.10358565737051793</v>
      </c>
      <c r="D17" s="30">
        <v>0.1</v>
      </c>
      <c r="E17" s="28">
        <f>B17*(1+D17)</f>
        <v>715000</v>
      </c>
      <c r="F17" s="31">
        <f t="shared" si="1"/>
        <v>9.49535192563081E-2</v>
      </c>
    </row>
    <row r="18" spans="1:6" ht="15.75" x14ac:dyDescent="0.25">
      <c r="A18" s="27" t="s">
        <v>29</v>
      </c>
      <c r="B18" s="28">
        <v>50000</v>
      </c>
      <c r="C18" s="29">
        <f t="shared" si="0"/>
        <v>7.9681274900398405E-3</v>
      </c>
      <c r="D18" s="30">
        <v>0</v>
      </c>
      <c r="E18" s="28">
        <f>B18</f>
        <v>50000</v>
      </c>
      <c r="F18" s="31">
        <f t="shared" si="1"/>
        <v>6.6401062416998674E-3</v>
      </c>
    </row>
    <row r="19" spans="1:6" ht="15.75" x14ac:dyDescent="0.25">
      <c r="A19" s="27" t="s">
        <v>113</v>
      </c>
      <c r="B19" s="28">
        <v>240000</v>
      </c>
      <c r="C19" s="29">
        <f t="shared" si="0"/>
        <v>3.8247011952191233E-2</v>
      </c>
      <c r="D19" s="28">
        <v>0</v>
      </c>
      <c r="E19" s="28">
        <f>B19+D19</f>
        <v>240000</v>
      </c>
      <c r="F19" s="31">
        <f t="shared" si="1"/>
        <v>3.1872509960159362E-2</v>
      </c>
    </row>
    <row r="20" spans="1:6" ht="15.75" x14ac:dyDescent="0.25">
      <c r="A20" s="27" t="s">
        <v>114</v>
      </c>
      <c r="B20" s="28">
        <v>50000</v>
      </c>
      <c r="C20" s="29">
        <f t="shared" si="0"/>
        <v>7.9681274900398405E-3</v>
      </c>
      <c r="D20" s="28">
        <v>10000</v>
      </c>
      <c r="E20" s="28">
        <f>B20+D20</f>
        <v>60000</v>
      </c>
      <c r="F20" s="31">
        <f t="shared" si="1"/>
        <v>7.9681274900398405E-3</v>
      </c>
    </row>
    <row r="21" spans="1:6" ht="15.75" x14ac:dyDescent="0.25">
      <c r="A21" s="27" t="s">
        <v>41</v>
      </c>
      <c r="B21" s="33">
        <v>240000</v>
      </c>
      <c r="C21" s="35">
        <f t="shared" si="0"/>
        <v>3.8247011952191233E-2</v>
      </c>
      <c r="D21" s="185">
        <v>0.1</v>
      </c>
      <c r="E21" s="33">
        <f>B21*(1+D21)</f>
        <v>264000</v>
      </c>
      <c r="F21" s="36">
        <f t="shared" si="1"/>
        <v>3.5059760956175301E-2</v>
      </c>
    </row>
    <row r="22" spans="1:6" ht="15.75" x14ac:dyDescent="0.25">
      <c r="A22" s="38" t="s">
        <v>109</v>
      </c>
      <c r="B22" s="34">
        <f>SUM(B17:B21)</f>
        <v>1230000</v>
      </c>
      <c r="C22" s="39">
        <f t="shared" si="0"/>
        <v>0.19601593625498007</v>
      </c>
      <c r="D22" s="36"/>
      <c r="E22" s="34">
        <f>SUM(E17:E21)</f>
        <v>1329000</v>
      </c>
      <c r="F22" s="40">
        <f t="shared" si="1"/>
        <v>0.17649402390438246</v>
      </c>
    </row>
    <row r="23" spans="1:6" ht="16.5" thickBot="1" x14ac:dyDescent="0.3">
      <c r="A23" s="38" t="s">
        <v>106</v>
      </c>
      <c r="B23" s="54">
        <f>B15-B22</f>
        <v>25000</v>
      </c>
      <c r="C23" s="35">
        <f t="shared" si="0"/>
        <v>3.9840637450199202E-3</v>
      </c>
      <c r="D23" s="40"/>
      <c r="E23" s="54">
        <f>E15-E22</f>
        <v>64050</v>
      </c>
      <c r="F23" s="40">
        <f t="shared" si="1"/>
        <v>8.5059760956175297E-3</v>
      </c>
    </row>
    <row r="24" spans="1:6" ht="15.75" thickTop="1" x14ac:dyDescent="0.25"/>
    <row r="25" spans="1:6" ht="15.75" x14ac:dyDescent="0.25">
      <c r="A25" s="38"/>
    </row>
    <row r="26" spans="1:6" ht="15.75" x14ac:dyDescent="0.25">
      <c r="A26" s="38"/>
    </row>
    <row r="27" spans="1:6" ht="15.75" x14ac:dyDescent="0.25">
      <c r="A27" s="38"/>
    </row>
    <row r="28" spans="1:6" ht="15.75" x14ac:dyDescent="0.25">
      <c r="A28" s="38"/>
    </row>
    <row r="29" spans="1:6" ht="15.75" x14ac:dyDescent="0.25">
      <c r="A29" s="38"/>
    </row>
    <row r="30" spans="1:6" ht="15.75" x14ac:dyDescent="0.25">
      <c r="A30" s="38"/>
    </row>
    <row r="31" spans="1:6" ht="15.75" x14ac:dyDescent="0.25">
      <c r="A31" s="38"/>
    </row>
    <row r="32" spans="1:6" ht="15.75" x14ac:dyDescent="0.25">
      <c r="A32" s="38"/>
    </row>
    <row r="33" spans="1:7" ht="15.75" x14ac:dyDescent="0.25">
      <c r="A33" s="27" t="s">
        <v>288</v>
      </c>
      <c r="B33" s="186"/>
      <c r="C33" s="187"/>
      <c r="D33" s="188"/>
      <c r="E33" s="186"/>
      <c r="F33" s="189"/>
      <c r="G33" s="10"/>
    </row>
    <row r="34" spans="1:7" ht="15.75" x14ac:dyDescent="0.25">
      <c r="A34" s="191" t="s">
        <v>289</v>
      </c>
      <c r="B34" s="186"/>
      <c r="C34" s="187"/>
      <c r="D34" s="186"/>
      <c r="E34" s="186"/>
      <c r="F34" s="189"/>
      <c r="G34" s="10"/>
    </row>
    <row r="35" spans="1:7" ht="15.75" x14ac:dyDescent="0.25">
      <c r="A35" s="32" t="s">
        <v>34</v>
      </c>
      <c r="B35" s="188">
        <v>0.25</v>
      </c>
      <c r="C35" s="187"/>
      <c r="D35" s="186"/>
      <c r="E35" s="186"/>
      <c r="F35" s="189"/>
      <c r="G35" s="10"/>
    </row>
    <row r="36" spans="1:7" ht="15.75" x14ac:dyDescent="0.25">
      <c r="A36" s="27"/>
      <c r="B36" s="197" t="s">
        <v>290</v>
      </c>
      <c r="C36" s="198" t="s">
        <v>291</v>
      </c>
      <c r="D36" s="197" t="s">
        <v>139</v>
      </c>
      <c r="E36" s="186"/>
      <c r="F36" s="189"/>
      <c r="G36" s="10"/>
    </row>
    <row r="37" spans="1:7" ht="15.75" x14ac:dyDescent="0.25">
      <c r="A37" s="192" t="s">
        <v>58</v>
      </c>
      <c r="B37" s="186">
        <v>1800000</v>
      </c>
      <c r="C37" s="193">
        <v>1600000</v>
      </c>
      <c r="D37" s="186">
        <v>1400000</v>
      </c>
      <c r="E37" s="186"/>
      <c r="F37" s="189"/>
      <c r="G37" s="10"/>
    </row>
    <row r="38" spans="1:7" ht="15.75" x14ac:dyDescent="0.25">
      <c r="A38" s="32" t="s">
        <v>76</v>
      </c>
      <c r="B38" s="194">
        <f>B37*$B$35</f>
        <v>450000</v>
      </c>
      <c r="C38" s="194">
        <f t="shared" ref="C38:D38" si="2">C37*$B$35</f>
        <v>400000</v>
      </c>
      <c r="D38" s="194">
        <f t="shared" si="2"/>
        <v>350000</v>
      </c>
      <c r="E38" s="190"/>
      <c r="F38" s="189"/>
      <c r="G38" s="10"/>
    </row>
    <row r="39" spans="1:7" ht="15.75" x14ac:dyDescent="0.25">
      <c r="A39" s="200" t="s">
        <v>57</v>
      </c>
      <c r="B39" s="195">
        <f>B37+B38</f>
        <v>2250000</v>
      </c>
      <c r="C39" s="195">
        <f t="shared" ref="C39:D39" si="3">C37+C38</f>
        <v>2000000</v>
      </c>
      <c r="D39" s="195">
        <f t="shared" si="3"/>
        <v>1750000</v>
      </c>
      <c r="E39" s="186"/>
      <c r="F39" s="189"/>
      <c r="G39" s="10"/>
    </row>
    <row r="40" spans="1:7" ht="15.75" x14ac:dyDescent="0.25">
      <c r="A40" s="27"/>
      <c r="B40" s="186"/>
      <c r="C40" s="186"/>
      <c r="D40" s="186"/>
      <c r="E40" s="186"/>
      <c r="F40" s="189"/>
      <c r="G40" s="10"/>
    </row>
    <row r="41" spans="1:7" ht="15.75" x14ac:dyDescent="0.25">
      <c r="A41" s="27"/>
      <c r="B41" s="186"/>
      <c r="C41" s="186"/>
      <c r="D41" s="186"/>
      <c r="E41" s="186"/>
      <c r="F41" s="189"/>
      <c r="G41" s="10"/>
    </row>
    <row r="42" spans="1:7" ht="15.75" x14ac:dyDescent="0.25">
      <c r="A42" s="27"/>
      <c r="B42" s="186"/>
      <c r="C42" s="186"/>
      <c r="D42" s="186"/>
      <c r="E42" s="186"/>
      <c r="F42" s="189"/>
      <c r="G42" s="10"/>
    </row>
    <row r="43" spans="1:7" ht="15.75" x14ac:dyDescent="0.25">
      <c r="A43" s="27"/>
      <c r="B43" s="186"/>
      <c r="C43" s="318" t="s">
        <v>293</v>
      </c>
      <c r="D43" s="318"/>
      <c r="E43" s="318"/>
      <c r="F43" s="189"/>
      <c r="G43" s="10"/>
    </row>
    <row r="44" spans="1:7" ht="15.75" x14ac:dyDescent="0.25">
      <c r="A44" s="27"/>
      <c r="B44" s="196" t="s">
        <v>178</v>
      </c>
      <c r="C44" s="198" t="s">
        <v>26</v>
      </c>
      <c r="D44" s="199" t="s">
        <v>138</v>
      </c>
      <c r="E44" s="197" t="s">
        <v>139</v>
      </c>
      <c r="F44" s="189"/>
      <c r="G44" s="10"/>
    </row>
    <row r="45" spans="1:7" ht="15.75" x14ac:dyDescent="0.25">
      <c r="A45" s="27" t="s">
        <v>292</v>
      </c>
      <c r="B45" s="186">
        <v>100000</v>
      </c>
      <c r="C45" s="193">
        <f>B45</f>
        <v>100000</v>
      </c>
      <c r="D45" s="186"/>
      <c r="E45" s="186"/>
      <c r="F45" s="189"/>
      <c r="G45" s="10"/>
    </row>
    <row r="46" spans="1:7" ht="15.75" x14ac:dyDescent="0.25">
      <c r="A46" s="38" t="s">
        <v>26</v>
      </c>
      <c r="B46" s="186">
        <f>B39*0.2</f>
        <v>450000</v>
      </c>
      <c r="C46" s="193">
        <f>B46*2/3</f>
        <v>300000</v>
      </c>
      <c r="D46" s="186">
        <f>B46/3</f>
        <v>150000</v>
      </c>
      <c r="E46" s="186"/>
      <c r="F46" s="189"/>
      <c r="G46" s="10"/>
    </row>
    <row r="47" spans="1:7" ht="15.75" x14ac:dyDescent="0.25">
      <c r="A47" s="38" t="s">
        <v>138</v>
      </c>
      <c r="B47" s="186">
        <f>C39*0.2</f>
        <v>400000</v>
      </c>
      <c r="C47" s="193"/>
      <c r="D47" s="186">
        <f>B47*2/3</f>
        <v>266666.66666666669</v>
      </c>
      <c r="E47" s="186">
        <f>B47/3</f>
        <v>133333.33333333334</v>
      </c>
      <c r="F47" s="189"/>
      <c r="G47" s="10"/>
    </row>
    <row r="48" spans="1:7" ht="15.75" x14ac:dyDescent="0.25">
      <c r="A48" s="38" t="s">
        <v>139</v>
      </c>
      <c r="B48" s="186">
        <f>D39*0.2</f>
        <v>350000</v>
      </c>
      <c r="C48" s="194"/>
      <c r="D48" s="194"/>
      <c r="E48" s="194">
        <f>B48*2/3</f>
        <v>233333.33333333334</v>
      </c>
      <c r="F48" s="10"/>
      <c r="G48" s="10"/>
    </row>
    <row r="49" spans="1:7" ht="15.75" x14ac:dyDescent="0.25">
      <c r="A49" s="38" t="s">
        <v>294</v>
      </c>
      <c r="B49" s="186"/>
      <c r="C49" s="186">
        <f>SUM(C45:C48)</f>
        <v>400000</v>
      </c>
      <c r="D49" s="186">
        <f t="shared" ref="D49:E49" si="4">SUM(D45:D48)</f>
        <v>416666.66666666669</v>
      </c>
      <c r="E49" s="186">
        <f t="shared" si="4"/>
        <v>366666.66666666669</v>
      </c>
      <c r="F49" s="10"/>
      <c r="G49" s="10"/>
    </row>
    <row r="50" spans="1:7" ht="15.75" x14ac:dyDescent="0.25">
      <c r="A50" s="38" t="s">
        <v>295</v>
      </c>
      <c r="B50" s="186"/>
      <c r="C50" s="194">
        <f>B39*0.8</f>
        <v>1800000</v>
      </c>
      <c r="D50" s="194">
        <f>C39*0.8</f>
        <v>1600000</v>
      </c>
      <c r="E50" s="194">
        <f>D39*0.8</f>
        <v>1400000</v>
      </c>
      <c r="F50" s="10"/>
      <c r="G50" s="10"/>
    </row>
    <row r="51" spans="1:7" ht="15.75" x14ac:dyDescent="0.25">
      <c r="A51" s="55" t="s">
        <v>256</v>
      </c>
      <c r="B51" s="186"/>
      <c r="C51" s="195">
        <f>SUM(C49:C50)</f>
        <v>2200000</v>
      </c>
      <c r="D51" s="195">
        <f t="shared" ref="D51:E51" si="5">SUM(D49:D50)</f>
        <v>2016666.6666666667</v>
      </c>
      <c r="E51" s="195">
        <f t="shared" si="5"/>
        <v>1766666.6666666667</v>
      </c>
      <c r="F51" s="10"/>
      <c r="G51" s="10"/>
    </row>
    <row r="52" spans="1:7" ht="15.75" x14ac:dyDescent="0.25">
      <c r="A52" s="38"/>
      <c r="B52" s="186"/>
      <c r="C52" s="186"/>
      <c r="D52" s="186"/>
      <c r="E52" s="186"/>
      <c r="F52" s="10"/>
      <c r="G52" s="10"/>
    </row>
    <row r="53" spans="1:7" ht="15.75" x14ac:dyDescent="0.25">
      <c r="A53" s="38"/>
      <c r="B53" s="51"/>
      <c r="C53" s="51"/>
      <c r="D53" s="51"/>
      <c r="E53" s="51"/>
    </row>
    <row r="54" spans="1:7" ht="15.75" x14ac:dyDescent="0.25">
      <c r="A54" s="38"/>
      <c r="B54" s="51"/>
      <c r="C54" s="51"/>
      <c r="D54" s="51"/>
      <c r="E54" s="51"/>
    </row>
    <row r="55" spans="1:7" ht="15.75" x14ac:dyDescent="0.25">
      <c r="A55" s="27"/>
      <c r="B55" s="186"/>
      <c r="C55" s="187"/>
      <c r="D55" s="189"/>
      <c r="E55" s="186"/>
      <c r="F55" s="189"/>
    </row>
    <row r="56" spans="1:7" ht="15.75" x14ac:dyDescent="0.25">
      <c r="A56" s="32"/>
      <c r="B56" s="186"/>
      <c r="C56" s="187"/>
      <c r="D56" s="186"/>
      <c r="E56" s="186"/>
      <c r="F56" s="189"/>
    </row>
    <row r="57" spans="1:7" ht="15.75" x14ac:dyDescent="0.25">
      <c r="A57" s="27"/>
      <c r="B57" s="186"/>
      <c r="C57" s="187"/>
      <c r="D57" s="319" t="s">
        <v>300</v>
      </c>
      <c r="E57" s="319"/>
      <c r="F57" s="319"/>
    </row>
    <row r="58" spans="1:7" ht="15.75" x14ac:dyDescent="0.25">
      <c r="A58" s="52"/>
      <c r="B58" s="201" t="s">
        <v>296</v>
      </c>
      <c r="C58" s="202" t="s">
        <v>297</v>
      </c>
      <c r="D58" s="196" t="s">
        <v>26</v>
      </c>
      <c r="E58" s="196" t="s">
        <v>138</v>
      </c>
      <c r="F58" s="203" t="s">
        <v>139</v>
      </c>
    </row>
    <row r="59" spans="1:7" ht="15.75" x14ac:dyDescent="0.25">
      <c r="A59" s="32" t="s">
        <v>298</v>
      </c>
      <c r="B59" s="186"/>
      <c r="C59" s="193">
        <v>400000</v>
      </c>
      <c r="D59" s="186">
        <f>C59</f>
        <v>400000</v>
      </c>
      <c r="E59" s="186"/>
      <c r="F59" s="189"/>
    </row>
    <row r="60" spans="1:7" ht="15.75" x14ac:dyDescent="0.25">
      <c r="A60" s="27" t="s">
        <v>26</v>
      </c>
      <c r="B60" s="186">
        <f>B37*0.8</f>
        <v>1440000</v>
      </c>
      <c r="C60" s="193">
        <f>B60*1.25</f>
        <v>1800000</v>
      </c>
      <c r="D60" s="186">
        <f>C60*2/3</f>
        <v>1200000</v>
      </c>
      <c r="E60" s="186">
        <f>C60/3</f>
        <v>600000</v>
      </c>
      <c r="F60" s="186"/>
    </row>
    <row r="61" spans="1:7" ht="15.75" x14ac:dyDescent="0.25">
      <c r="A61" s="27" t="s">
        <v>138</v>
      </c>
      <c r="B61" s="186">
        <f>C37*0.8</f>
        <v>1280000</v>
      </c>
      <c r="C61" s="193">
        <f t="shared" ref="C61:C62" si="6">B61*1.25</f>
        <v>1600000</v>
      </c>
      <c r="D61" s="186"/>
      <c r="E61" s="186">
        <f>C61*2/3</f>
        <v>1066666.6666666667</v>
      </c>
      <c r="F61" s="186">
        <f>C61/3</f>
        <v>533333.33333333337</v>
      </c>
    </row>
    <row r="62" spans="1:7" ht="15.75" x14ac:dyDescent="0.25">
      <c r="A62" s="27" t="s">
        <v>139</v>
      </c>
      <c r="B62" s="186">
        <f>D37*0.8</f>
        <v>1120000</v>
      </c>
      <c r="C62" s="193">
        <f t="shared" si="6"/>
        <v>1400000</v>
      </c>
      <c r="D62" s="194"/>
      <c r="E62" s="194"/>
      <c r="F62" s="194">
        <f>C62*2/3</f>
        <v>933333.33333333337</v>
      </c>
    </row>
    <row r="63" spans="1:7" ht="15.75" x14ac:dyDescent="0.25">
      <c r="A63" s="200" t="s">
        <v>46</v>
      </c>
      <c r="B63" s="186"/>
      <c r="C63" s="193"/>
      <c r="D63" s="195">
        <f>SUM(D59:D62)</f>
        <v>1600000</v>
      </c>
      <c r="E63" s="195">
        <f t="shared" ref="E63:F63" si="7">SUM(E59:E62)</f>
        <v>1666666.6666666667</v>
      </c>
      <c r="F63" s="195">
        <f t="shared" si="7"/>
        <v>1466666.6666666667</v>
      </c>
    </row>
    <row r="64" spans="1:7" ht="15.75" x14ac:dyDescent="0.25">
      <c r="A64" s="38"/>
      <c r="B64" s="186"/>
      <c r="C64" s="187"/>
      <c r="D64" s="189"/>
      <c r="E64" s="186"/>
      <c r="F64" s="189"/>
    </row>
    <row r="65" spans="1:6" ht="15.75" x14ac:dyDescent="0.25">
      <c r="A65" s="55" t="s">
        <v>221</v>
      </c>
      <c r="B65" s="205" t="s">
        <v>26</v>
      </c>
      <c r="C65" s="206" t="s">
        <v>291</v>
      </c>
      <c r="D65" s="206" t="s">
        <v>139</v>
      </c>
      <c r="E65" s="205" t="s">
        <v>50</v>
      </c>
      <c r="F65" s="189"/>
    </row>
    <row r="66" spans="1:6" ht="15.75" x14ac:dyDescent="0.25">
      <c r="A66" s="204" t="s">
        <v>51</v>
      </c>
      <c r="B66" s="207"/>
      <c r="C66" s="208"/>
      <c r="D66" s="208"/>
      <c r="E66" s="207"/>
      <c r="F66" s="189"/>
    </row>
    <row r="67" spans="1:6" ht="16.5" thickBot="1" x14ac:dyDescent="0.3">
      <c r="A67" s="38" t="s">
        <v>256</v>
      </c>
      <c r="B67" s="209">
        <f>C51</f>
        <v>2200000</v>
      </c>
      <c r="C67" s="209">
        <v>2016700</v>
      </c>
      <c r="D67" s="209">
        <v>1766700</v>
      </c>
      <c r="E67" s="209">
        <f>SUM(B67:D67)</f>
        <v>5983400</v>
      </c>
      <c r="F67" s="10" t="s">
        <v>299</v>
      </c>
    </row>
    <row r="68" spans="1:6" ht="15.75" x14ac:dyDescent="0.25">
      <c r="A68" s="204" t="s">
        <v>53</v>
      </c>
      <c r="B68" s="11"/>
      <c r="C68" s="11"/>
      <c r="D68" s="11"/>
      <c r="E68" s="11">
        <f t="shared" ref="E68:E75" si="8">SUM(B68:D68)</f>
        <v>0</v>
      </c>
      <c r="F68" s="10"/>
    </row>
    <row r="69" spans="1:6" x14ac:dyDescent="0.25">
      <c r="A69" s="102" t="s">
        <v>301</v>
      </c>
      <c r="B69" s="12">
        <v>1600000</v>
      </c>
      <c r="C69" s="12">
        <v>1666700</v>
      </c>
      <c r="D69" s="12">
        <v>1466700</v>
      </c>
      <c r="E69" s="12">
        <f t="shared" si="8"/>
        <v>4733400</v>
      </c>
      <c r="F69" s="10" t="s">
        <v>299</v>
      </c>
    </row>
    <row r="70" spans="1:6" x14ac:dyDescent="0.25">
      <c r="A70" t="s">
        <v>302</v>
      </c>
      <c r="B70" s="12">
        <v>95000</v>
      </c>
      <c r="C70" s="12">
        <v>95000</v>
      </c>
      <c r="D70" s="12">
        <v>95000</v>
      </c>
      <c r="E70" s="12">
        <f t="shared" si="8"/>
        <v>285000</v>
      </c>
    </row>
    <row r="71" spans="1:6" x14ac:dyDescent="0.25">
      <c r="A71" t="s">
        <v>259</v>
      </c>
      <c r="B71" s="12">
        <v>26800</v>
      </c>
      <c r="C71" s="156"/>
      <c r="D71" s="12">
        <v>40500</v>
      </c>
      <c r="E71" s="12">
        <f t="shared" si="8"/>
        <v>67300</v>
      </c>
    </row>
    <row r="72" spans="1:6" x14ac:dyDescent="0.25">
      <c r="A72" t="s">
        <v>263</v>
      </c>
      <c r="B72" s="156"/>
      <c r="C72" s="12">
        <v>100000</v>
      </c>
      <c r="D72" s="156"/>
      <c r="E72" s="12">
        <f t="shared" si="8"/>
        <v>100000</v>
      </c>
    </row>
    <row r="73" spans="1:6" x14ac:dyDescent="0.25">
      <c r="A73" t="s">
        <v>303</v>
      </c>
      <c r="B73" s="12">
        <v>95000</v>
      </c>
      <c r="C73" s="12">
        <v>95000</v>
      </c>
      <c r="D73" s="12">
        <v>95000</v>
      </c>
      <c r="E73" s="12">
        <f t="shared" si="8"/>
        <v>285000</v>
      </c>
    </row>
    <row r="74" spans="1:6" x14ac:dyDescent="0.25">
      <c r="A74" t="s">
        <v>304</v>
      </c>
      <c r="B74" s="156"/>
      <c r="C74" s="156">
        <f>150000*1.25</f>
        <v>187500</v>
      </c>
      <c r="D74" s="156"/>
      <c r="E74" s="12">
        <f t="shared" si="8"/>
        <v>187500</v>
      </c>
    </row>
    <row r="75" spans="1:6" ht="15.75" thickBot="1" x14ac:dyDescent="0.3">
      <c r="A75" t="s">
        <v>305</v>
      </c>
      <c r="B75" s="158"/>
      <c r="C75" s="158">
        <f>60000*1.25</f>
        <v>75000</v>
      </c>
      <c r="D75" s="158"/>
      <c r="E75" s="12">
        <f t="shared" si="8"/>
        <v>75000</v>
      </c>
    </row>
    <row r="76" spans="1:6" ht="15.75" thickBot="1" x14ac:dyDescent="0.3">
      <c r="A76" s="20" t="s">
        <v>55</v>
      </c>
      <c r="B76" s="210">
        <f>SUM(B69:B75)</f>
        <v>1816800</v>
      </c>
      <c r="C76" s="210">
        <f t="shared" ref="C76:E76" si="9">SUM(C69:C75)</f>
        <v>2219200</v>
      </c>
      <c r="D76" s="210">
        <f t="shared" si="9"/>
        <v>1697200</v>
      </c>
      <c r="E76" s="210">
        <f t="shared" si="9"/>
        <v>5733200</v>
      </c>
    </row>
    <row r="77" spans="1:6" x14ac:dyDescent="0.25">
      <c r="A77" t="s">
        <v>56</v>
      </c>
      <c r="B77" s="11">
        <f>B67-B76</f>
        <v>383200</v>
      </c>
      <c r="C77" s="11">
        <f>C67-C76</f>
        <v>-202500</v>
      </c>
      <c r="D77" s="11">
        <f>D67-D76</f>
        <v>69500</v>
      </c>
      <c r="E77" s="11">
        <f>E67-E76</f>
        <v>250200</v>
      </c>
    </row>
    <row r="78" spans="1:6" x14ac:dyDescent="0.25">
      <c r="A78" t="s">
        <v>306</v>
      </c>
      <c r="B78" s="12">
        <v>200000</v>
      </c>
      <c r="C78" s="12">
        <f>B79</f>
        <v>583200</v>
      </c>
      <c r="D78" s="12">
        <f>C79</f>
        <v>380700</v>
      </c>
      <c r="E78" s="12">
        <f>B78</f>
        <v>200000</v>
      </c>
    </row>
    <row r="79" spans="1:6" x14ac:dyDescent="0.25">
      <c r="A79" t="s">
        <v>307</v>
      </c>
      <c r="B79" s="12">
        <f>B78+B77</f>
        <v>583200</v>
      </c>
      <c r="C79" s="12">
        <f>C78+C77</f>
        <v>380700</v>
      </c>
      <c r="D79" s="12">
        <f>D78+D77</f>
        <v>450200</v>
      </c>
      <c r="E79" s="12">
        <f>E78+E77</f>
        <v>450200</v>
      </c>
    </row>
    <row r="82" spans="2:2" x14ac:dyDescent="0.25">
      <c r="B82" s="2"/>
    </row>
  </sheetData>
  <mergeCells count="4">
    <mergeCell ref="B10:C10"/>
    <mergeCell ref="E10:F10"/>
    <mergeCell ref="C43:E43"/>
    <mergeCell ref="D57:F5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31"/>
  <sheetViews>
    <sheetView workbookViewId="0">
      <selection activeCell="A21" sqref="A21"/>
    </sheetView>
  </sheetViews>
  <sheetFormatPr baseColWidth="10" defaultRowHeight="15" x14ac:dyDescent="0.25"/>
  <cols>
    <col min="1" max="1" width="21.28515625" bestFit="1" customWidth="1"/>
  </cols>
  <sheetData>
    <row r="5" spans="1:5" ht="18.75" x14ac:dyDescent="0.3">
      <c r="A5" s="278" t="s">
        <v>376</v>
      </c>
    </row>
    <row r="6" spans="1:5" ht="18.75" x14ac:dyDescent="0.3">
      <c r="A6" s="278"/>
    </row>
    <row r="12" spans="1:5" x14ac:dyDescent="0.25">
      <c r="A12" t="s">
        <v>308</v>
      </c>
      <c r="B12" s="320" t="s">
        <v>314</v>
      </c>
      <c r="C12" s="321"/>
      <c r="D12" s="320" t="s">
        <v>310</v>
      </c>
      <c r="E12" s="321"/>
    </row>
    <row r="13" spans="1:5" x14ac:dyDescent="0.25">
      <c r="A13" t="s">
        <v>309</v>
      </c>
      <c r="B13" s="9">
        <v>100000</v>
      </c>
      <c r="D13" s="215"/>
      <c r="E13" s="217"/>
    </row>
    <row r="14" spans="1:5" x14ac:dyDescent="0.25">
      <c r="A14" t="s">
        <v>311</v>
      </c>
      <c r="B14" s="16"/>
      <c r="D14" s="213">
        <v>600000</v>
      </c>
      <c r="E14" s="217"/>
    </row>
    <row r="15" spans="1:5" x14ac:dyDescent="0.25">
      <c r="A15" t="s">
        <v>247</v>
      </c>
      <c r="B15" s="17"/>
      <c r="C15" s="3">
        <v>20000</v>
      </c>
      <c r="D15" s="216">
        <v>20000</v>
      </c>
      <c r="E15" s="218"/>
    </row>
    <row r="16" spans="1:5" x14ac:dyDescent="0.25">
      <c r="A16" t="s">
        <v>312</v>
      </c>
      <c r="B16" s="14">
        <v>100000</v>
      </c>
      <c r="C16" s="2">
        <v>20000</v>
      </c>
      <c r="D16" s="213">
        <v>620000</v>
      </c>
      <c r="E16" s="217"/>
    </row>
    <row r="17" spans="1:5" x14ac:dyDescent="0.25">
      <c r="A17" t="s">
        <v>9</v>
      </c>
      <c r="B17" s="16"/>
      <c r="D17" s="211"/>
      <c r="E17" s="220">
        <v>620000</v>
      </c>
    </row>
    <row r="18" spans="1:5" x14ac:dyDescent="0.25">
      <c r="A18" t="s">
        <v>313</v>
      </c>
      <c r="B18" s="17"/>
      <c r="C18" s="3">
        <v>80000</v>
      </c>
      <c r="D18" s="212"/>
      <c r="E18" s="218"/>
    </row>
    <row r="19" spans="1:5" ht="15.75" thickBot="1" x14ac:dyDescent="0.3">
      <c r="A19" t="s">
        <v>50</v>
      </c>
      <c r="B19" s="15">
        <f>SUM(B16:B18)</f>
        <v>100000</v>
      </c>
      <c r="C19" s="4">
        <f t="shared" ref="C19:E19" si="0">SUM(C16:C18)</f>
        <v>100000</v>
      </c>
      <c r="D19" s="214">
        <f t="shared" si="0"/>
        <v>620000</v>
      </c>
      <c r="E19" s="219">
        <f t="shared" si="0"/>
        <v>620000</v>
      </c>
    </row>
    <row r="20" spans="1:5" ht="15.75" thickTop="1" x14ac:dyDescent="0.25"/>
    <row r="21" spans="1:5" x14ac:dyDescent="0.25">
      <c r="A21" s="277" t="s">
        <v>377</v>
      </c>
    </row>
    <row r="23" spans="1:5" x14ac:dyDescent="0.25">
      <c r="A23" t="s">
        <v>249</v>
      </c>
      <c r="B23" s="320" t="s">
        <v>314</v>
      </c>
      <c r="C23" s="321"/>
      <c r="D23" s="320" t="s">
        <v>310</v>
      </c>
      <c r="E23" s="321"/>
    </row>
    <row r="24" spans="1:5" x14ac:dyDescent="0.25">
      <c r="A24" t="s">
        <v>309</v>
      </c>
      <c r="B24" s="9">
        <v>100000</v>
      </c>
      <c r="D24" s="215"/>
      <c r="E24" s="217"/>
    </row>
    <row r="25" spans="1:5" x14ac:dyDescent="0.25">
      <c r="A25" t="s">
        <v>311</v>
      </c>
      <c r="B25" s="16"/>
      <c r="D25" s="213">
        <v>600000</v>
      </c>
      <c r="E25" s="217"/>
    </row>
    <row r="26" spans="1:5" x14ac:dyDescent="0.25">
      <c r="A26" t="s">
        <v>247</v>
      </c>
      <c r="B26" s="17"/>
      <c r="C26" s="3">
        <v>50000</v>
      </c>
      <c r="D26" s="216">
        <v>50000</v>
      </c>
      <c r="E26" s="218"/>
    </row>
    <row r="27" spans="1:5" x14ac:dyDescent="0.25">
      <c r="A27" t="s">
        <v>312</v>
      </c>
      <c r="B27" s="14">
        <v>100000</v>
      </c>
      <c r="C27" s="2">
        <v>50000</v>
      </c>
      <c r="D27" s="213">
        <v>650000</v>
      </c>
      <c r="E27" s="217"/>
    </row>
    <row r="28" spans="1:5" x14ac:dyDescent="0.25">
      <c r="A28" t="s">
        <v>9</v>
      </c>
      <c r="B28" s="16"/>
      <c r="D28" s="211"/>
      <c r="E28" s="220">
        <v>650000</v>
      </c>
    </row>
    <row r="29" spans="1:5" x14ac:dyDescent="0.25">
      <c r="A29" t="s">
        <v>313</v>
      </c>
      <c r="B29" s="17"/>
      <c r="C29" s="3">
        <v>50000</v>
      </c>
      <c r="D29" s="212"/>
      <c r="E29" s="218"/>
    </row>
    <row r="30" spans="1:5" ht="15.75" thickBot="1" x14ac:dyDescent="0.3">
      <c r="A30" t="s">
        <v>50</v>
      </c>
      <c r="B30" s="15">
        <f>SUM(B27:B29)</f>
        <v>100000</v>
      </c>
      <c r="C30" s="4">
        <f t="shared" ref="C30" si="1">SUM(C27:C29)</f>
        <v>100000</v>
      </c>
      <c r="D30" s="214">
        <f t="shared" ref="D30" si="2">SUM(D27:D29)</f>
        <v>650000</v>
      </c>
      <c r="E30" s="219">
        <f t="shared" ref="E30" si="3">SUM(E27:E29)</f>
        <v>650000</v>
      </c>
    </row>
    <row r="31" spans="1:5" ht="15.75" thickTop="1" x14ac:dyDescent="0.25"/>
  </sheetData>
  <mergeCells count="4">
    <mergeCell ref="B12:C12"/>
    <mergeCell ref="D12:E12"/>
    <mergeCell ref="B23:C23"/>
    <mergeCell ref="D23:E23"/>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workbookViewId="0">
      <selection activeCell="B5" sqref="B5"/>
    </sheetView>
  </sheetViews>
  <sheetFormatPr baseColWidth="10" defaultRowHeight="15" x14ac:dyDescent="0.25"/>
  <sheetData>
    <row r="5" spans="1:1" ht="18.75" x14ac:dyDescent="0.3">
      <c r="A5" s="276" t="s">
        <v>341</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22"/>
  <sheetViews>
    <sheetView topLeftCell="A2" workbookViewId="0">
      <selection activeCell="L9" sqref="L9"/>
    </sheetView>
  </sheetViews>
  <sheetFormatPr baseColWidth="10" defaultRowHeight="15" x14ac:dyDescent="0.2"/>
  <cols>
    <col min="1" max="1" width="23.42578125" style="61" customWidth="1"/>
    <col min="2" max="7" width="12.7109375" style="61" customWidth="1"/>
    <col min="8" max="256" width="11.42578125" style="61"/>
    <col min="257" max="257" width="21.85546875" style="61" customWidth="1"/>
    <col min="258" max="263" width="10.28515625" style="61" customWidth="1"/>
    <col min="264" max="512" width="11.42578125" style="61"/>
    <col min="513" max="513" width="21.85546875" style="61" customWidth="1"/>
    <col min="514" max="519" width="10.28515625" style="61" customWidth="1"/>
    <col min="520" max="768" width="11.42578125" style="61"/>
    <col min="769" max="769" width="21.85546875" style="61" customWidth="1"/>
    <col min="770" max="775" width="10.28515625" style="61" customWidth="1"/>
    <col min="776" max="1024" width="11.42578125" style="61"/>
    <col min="1025" max="1025" width="21.85546875" style="61" customWidth="1"/>
    <col min="1026" max="1031" width="10.28515625" style="61" customWidth="1"/>
    <col min="1032" max="1280" width="11.42578125" style="61"/>
    <col min="1281" max="1281" width="21.85546875" style="61" customWidth="1"/>
    <col min="1282" max="1287" width="10.28515625" style="61" customWidth="1"/>
    <col min="1288" max="1536" width="11.42578125" style="61"/>
    <col min="1537" max="1537" width="21.85546875" style="61" customWidth="1"/>
    <col min="1538" max="1543" width="10.28515625" style="61" customWidth="1"/>
    <col min="1544" max="1792" width="11.42578125" style="61"/>
    <col min="1793" max="1793" width="21.85546875" style="61" customWidth="1"/>
    <col min="1794" max="1799" width="10.28515625" style="61" customWidth="1"/>
    <col min="1800" max="2048" width="11.42578125" style="61"/>
    <col min="2049" max="2049" width="21.85546875" style="61" customWidth="1"/>
    <col min="2050" max="2055" width="10.28515625" style="61" customWidth="1"/>
    <col min="2056" max="2304" width="11.42578125" style="61"/>
    <col min="2305" max="2305" width="21.85546875" style="61" customWidth="1"/>
    <col min="2306" max="2311" width="10.28515625" style="61" customWidth="1"/>
    <col min="2312" max="2560" width="11.42578125" style="61"/>
    <col min="2561" max="2561" width="21.85546875" style="61" customWidth="1"/>
    <col min="2562" max="2567" width="10.28515625" style="61" customWidth="1"/>
    <col min="2568" max="2816" width="11.42578125" style="61"/>
    <col min="2817" max="2817" width="21.85546875" style="61" customWidth="1"/>
    <col min="2818" max="2823" width="10.28515625" style="61" customWidth="1"/>
    <col min="2824" max="3072" width="11.42578125" style="61"/>
    <col min="3073" max="3073" width="21.85546875" style="61" customWidth="1"/>
    <col min="3074" max="3079" width="10.28515625" style="61" customWidth="1"/>
    <col min="3080" max="3328" width="11.42578125" style="61"/>
    <col min="3329" max="3329" width="21.85546875" style="61" customWidth="1"/>
    <col min="3330" max="3335" width="10.28515625" style="61" customWidth="1"/>
    <col min="3336" max="3584" width="11.42578125" style="61"/>
    <col min="3585" max="3585" width="21.85546875" style="61" customWidth="1"/>
    <col min="3586" max="3591" width="10.28515625" style="61" customWidth="1"/>
    <col min="3592" max="3840" width="11.42578125" style="61"/>
    <col min="3841" max="3841" width="21.85546875" style="61" customWidth="1"/>
    <col min="3842" max="3847" width="10.28515625" style="61" customWidth="1"/>
    <col min="3848" max="4096" width="11.42578125" style="61"/>
    <col min="4097" max="4097" width="21.85546875" style="61" customWidth="1"/>
    <col min="4098" max="4103" width="10.28515625" style="61" customWidth="1"/>
    <col min="4104" max="4352" width="11.42578125" style="61"/>
    <col min="4353" max="4353" width="21.85546875" style="61" customWidth="1"/>
    <col min="4354" max="4359" width="10.28515625" style="61" customWidth="1"/>
    <col min="4360" max="4608" width="11.42578125" style="61"/>
    <col min="4609" max="4609" width="21.85546875" style="61" customWidth="1"/>
    <col min="4610" max="4615" width="10.28515625" style="61" customWidth="1"/>
    <col min="4616" max="4864" width="11.42578125" style="61"/>
    <col min="4865" max="4865" width="21.85546875" style="61" customWidth="1"/>
    <col min="4866" max="4871" width="10.28515625" style="61" customWidth="1"/>
    <col min="4872" max="5120" width="11.42578125" style="61"/>
    <col min="5121" max="5121" width="21.85546875" style="61" customWidth="1"/>
    <col min="5122" max="5127" width="10.28515625" style="61" customWidth="1"/>
    <col min="5128" max="5376" width="11.42578125" style="61"/>
    <col min="5377" max="5377" width="21.85546875" style="61" customWidth="1"/>
    <col min="5378" max="5383" width="10.28515625" style="61" customWidth="1"/>
    <col min="5384" max="5632" width="11.42578125" style="61"/>
    <col min="5633" max="5633" width="21.85546875" style="61" customWidth="1"/>
    <col min="5634" max="5639" width="10.28515625" style="61" customWidth="1"/>
    <col min="5640" max="5888" width="11.42578125" style="61"/>
    <col min="5889" max="5889" width="21.85546875" style="61" customWidth="1"/>
    <col min="5890" max="5895" width="10.28515625" style="61" customWidth="1"/>
    <col min="5896" max="6144" width="11.42578125" style="61"/>
    <col min="6145" max="6145" width="21.85546875" style="61" customWidth="1"/>
    <col min="6146" max="6151" width="10.28515625" style="61" customWidth="1"/>
    <col min="6152" max="6400" width="11.42578125" style="61"/>
    <col min="6401" max="6401" width="21.85546875" style="61" customWidth="1"/>
    <col min="6402" max="6407" width="10.28515625" style="61" customWidth="1"/>
    <col min="6408" max="6656" width="11.42578125" style="61"/>
    <col min="6657" max="6657" width="21.85546875" style="61" customWidth="1"/>
    <col min="6658" max="6663" width="10.28515625" style="61" customWidth="1"/>
    <col min="6664" max="6912" width="11.42578125" style="61"/>
    <col min="6913" max="6913" width="21.85546875" style="61" customWidth="1"/>
    <col min="6914" max="6919" width="10.28515625" style="61" customWidth="1"/>
    <col min="6920" max="7168" width="11.42578125" style="61"/>
    <col min="7169" max="7169" width="21.85546875" style="61" customWidth="1"/>
    <col min="7170" max="7175" width="10.28515625" style="61" customWidth="1"/>
    <col min="7176" max="7424" width="11.42578125" style="61"/>
    <col min="7425" max="7425" width="21.85546875" style="61" customWidth="1"/>
    <col min="7426" max="7431" width="10.28515625" style="61" customWidth="1"/>
    <col min="7432" max="7680" width="11.42578125" style="61"/>
    <col min="7681" max="7681" width="21.85546875" style="61" customWidth="1"/>
    <col min="7682" max="7687" width="10.28515625" style="61" customWidth="1"/>
    <col min="7688" max="7936" width="11.42578125" style="61"/>
    <col min="7937" max="7937" width="21.85546875" style="61" customWidth="1"/>
    <col min="7938" max="7943" width="10.28515625" style="61" customWidth="1"/>
    <col min="7944" max="8192" width="11.42578125" style="61"/>
    <col min="8193" max="8193" width="21.85546875" style="61" customWidth="1"/>
    <col min="8194" max="8199" width="10.28515625" style="61" customWidth="1"/>
    <col min="8200" max="8448" width="11.42578125" style="61"/>
    <col min="8449" max="8449" width="21.85546875" style="61" customWidth="1"/>
    <col min="8450" max="8455" width="10.28515625" style="61" customWidth="1"/>
    <col min="8456" max="8704" width="11.42578125" style="61"/>
    <col min="8705" max="8705" width="21.85546875" style="61" customWidth="1"/>
    <col min="8706" max="8711" width="10.28515625" style="61" customWidth="1"/>
    <col min="8712" max="8960" width="11.42578125" style="61"/>
    <col min="8961" max="8961" width="21.85546875" style="61" customWidth="1"/>
    <col min="8962" max="8967" width="10.28515625" style="61" customWidth="1"/>
    <col min="8968" max="9216" width="11.42578125" style="61"/>
    <col min="9217" max="9217" width="21.85546875" style="61" customWidth="1"/>
    <col min="9218" max="9223" width="10.28515625" style="61" customWidth="1"/>
    <col min="9224" max="9472" width="11.42578125" style="61"/>
    <col min="9473" max="9473" width="21.85546875" style="61" customWidth="1"/>
    <col min="9474" max="9479" width="10.28515625" style="61" customWidth="1"/>
    <col min="9480" max="9728" width="11.42578125" style="61"/>
    <col min="9729" max="9729" width="21.85546875" style="61" customWidth="1"/>
    <col min="9730" max="9735" width="10.28515625" style="61" customWidth="1"/>
    <col min="9736" max="9984" width="11.42578125" style="61"/>
    <col min="9985" max="9985" width="21.85546875" style="61" customWidth="1"/>
    <col min="9986" max="9991" width="10.28515625" style="61" customWidth="1"/>
    <col min="9992" max="10240" width="11.42578125" style="61"/>
    <col min="10241" max="10241" width="21.85546875" style="61" customWidth="1"/>
    <col min="10242" max="10247" width="10.28515625" style="61" customWidth="1"/>
    <col min="10248" max="10496" width="11.42578125" style="61"/>
    <col min="10497" max="10497" width="21.85546875" style="61" customWidth="1"/>
    <col min="10498" max="10503" width="10.28515625" style="61" customWidth="1"/>
    <col min="10504" max="10752" width="11.42578125" style="61"/>
    <col min="10753" max="10753" width="21.85546875" style="61" customWidth="1"/>
    <col min="10754" max="10759" width="10.28515625" style="61" customWidth="1"/>
    <col min="10760" max="11008" width="11.42578125" style="61"/>
    <col min="11009" max="11009" width="21.85546875" style="61" customWidth="1"/>
    <col min="11010" max="11015" width="10.28515625" style="61" customWidth="1"/>
    <col min="11016" max="11264" width="11.42578125" style="61"/>
    <col min="11265" max="11265" width="21.85546875" style="61" customWidth="1"/>
    <col min="11266" max="11271" width="10.28515625" style="61" customWidth="1"/>
    <col min="11272" max="11520" width="11.42578125" style="61"/>
    <col min="11521" max="11521" width="21.85546875" style="61" customWidth="1"/>
    <col min="11522" max="11527" width="10.28515625" style="61" customWidth="1"/>
    <col min="11528" max="11776" width="11.42578125" style="61"/>
    <col min="11777" max="11777" width="21.85546875" style="61" customWidth="1"/>
    <col min="11778" max="11783" width="10.28515625" style="61" customWidth="1"/>
    <col min="11784" max="12032" width="11.42578125" style="61"/>
    <col min="12033" max="12033" width="21.85546875" style="61" customWidth="1"/>
    <col min="12034" max="12039" width="10.28515625" style="61" customWidth="1"/>
    <col min="12040" max="12288" width="11.42578125" style="61"/>
    <col min="12289" max="12289" width="21.85546875" style="61" customWidth="1"/>
    <col min="12290" max="12295" width="10.28515625" style="61" customWidth="1"/>
    <col min="12296" max="12544" width="11.42578125" style="61"/>
    <col min="12545" max="12545" width="21.85546875" style="61" customWidth="1"/>
    <col min="12546" max="12551" width="10.28515625" style="61" customWidth="1"/>
    <col min="12552" max="12800" width="11.42578125" style="61"/>
    <col min="12801" max="12801" width="21.85546875" style="61" customWidth="1"/>
    <col min="12802" max="12807" width="10.28515625" style="61" customWidth="1"/>
    <col min="12808" max="13056" width="11.42578125" style="61"/>
    <col min="13057" max="13057" width="21.85546875" style="61" customWidth="1"/>
    <col min="13058" max="13063" width="10.28515625" style="61" customWidth="1"/>
    <col min="13064" max="13312" width="11.42578125" style="61"/>
    <col min="13313" max="13313" width="21.85546875" style="61" customWidth="1"/>
    <col min="13314" max="13319" width="10.28515625" style="61" customWidth="1"/>
    <col min="13320" max="13568" width="11.42578125" style="61"/>
    <col min="13569" max="13569" width="21.85546875" style="61" customWidth="1"/>
    <col min="13570" max="13575" width="10.28515625" style="61" customWidth="1"/>
    <col min="13576" max="13824" width="11.42578125" style="61"/>
    <col min="13825" max="13825" width="21.85546875" style="61" customWidth="1"/>
    <col min="13826" max="13831" width="10.28515625" style="61" customWidth="1"/>
    <col min="13832" max="14080" width="11.42578125" style="61"/>
    <col min="14081" max="14081" width="21.85546875" style="61" customWidth="1"/>
    <col min="14082" max="14087" width="10.28515625" style="61" customWidth="1"/>
    <col min="14088" max="14336" width="11.42578125" style="61"/>
    <col min="14337" max="14337" width="21.85546875" style="61" customWidth="1"/>
    <col min="14338" max="14343" width="10.28515625" style="61" customWidth="1"/>
    <col min="14344" max="14592" width="11.42578125" style="61"/>
    <col min="14593" max="14593" width="21.85546875" style="61" customWidth="1"/>
    <col min="14594" max="14599" width="10.28515625" style="61" customWidth="1"/>
    <col min="14600" max="14848" width="11.42578125" style="61"/>
    <col min="14849" max="14849" width="21.85546875" style="61" customWidth="1"/>
    <col min="14850" max="14855" width="10.28515625" style="61" customWidth="1"/>
    <col min="14856" max="15104" width="11.42578125" style="61"/>
    <col min="15105" max="15105" width="21.85546875" style="61" customWidth="1"/>
    <col min="15106" max="15111" width="10.28515625" style="61" customWidth="1"/>
    <col min="15112" max="15360" width="11.42578125" style="61"/>
    <col min="15361" max="15361" width="21.85546875" style="61" customWidth="1"/>
    <col min="15362" max="15367" width="10.28515625" style="61" customWidth="1"/>
    <col min="15368" max="15616" width="11.42578125" style="61"/>
    <col min="15617" max="15617" width="21.85546875" style="61" customWidth="1"/>
    <col min="15618" max="15623" width="10.28515625" style="61" customWidth="1"/>
    <col min="15624" max="15872" width="11.42578125" style="61"/>
    <col min="15873" max="15873" width="21.85546875" style="61" customWidth="1"/>
    <col min="15874" max="15879" width="10.28515625" style="61" customWidth="1"/>
    <col min="15880" max="16128" width="11.42578125" style="61"/>
    <col min="16129" max="16129" width="21.85546875" style="61" customWidth="1"/>
    <col min="16130" max="16135" width="10.28515625" style="61" customWidth="1"/>
    <col min="16136" max="16384" width="11.42578125" style="61"/>
  </cols>
  <sheetData>
    <row r="5" spans="1:7" ht="18.75" x14ac:dyDescent="0.3">
      <c r="A5" s="288" t="s">
        <v>379</v>
      </c>
      <c r="B5" s="66"/>
      <c r="C5" s="66"/>
    </row>
    <row r="6" spans="1:7" ht="18.75" x14ac:dyDescent="0.3">
      <c r="A6" s="288"/>
      <c r="B6" s="66"/>
      <c r="C6" s="66"/>
    </row>
    <row r="7" spans="1:7" x14ac:dyDescent="0.2">
      <c r="A7" s="61" t="s">
        <v>378</v>
      </c>
    </row>
    <row r="8" spans="1:7" s="66" customFormat="1" ht="18" customHeight="1" x14ac:dyDescent="0.25">
      <c r="A8" s="226"/>
      <c r="B8" s="322" t="s">
        <v>93</v>
      </c>
      <c r="C8" s="322"/>
      <c r="D8" s="322" t="s">
        <v>91</v>
      </c>
      <c r="E8" s="322"/>
      <c r="F8" s="322" t="s">
        <v>315</v>
      </c>
      <c r="G8" s="322"/>
    </row>
    <row r="9" spans="1:7" x14ac:dyDescent="0.2">
      <c r="A9" s="224"/>
      <c r="B9" s="221"/>
      <c r="C9" s="222" t="s">
        <v>316</v>
      </c>
      <c r="D9" s="221"/>
      <c r="E9" s="222" t="s">
        <v>316</v>
      </c>
      <c r="F9" s="221"/>
      <c r="G9" s="221" t="s">
        <v>316</v>
      </c>
    </row>
    <row r="10" spans="1:7" x14ac:dyDescent="0.2">
      <c r="A10" s="225"/>
      <c r="B10" s="223" t="s">
        <v>317</v>
      </c>
      <c r="C10" s="223" t="s">
        <v>318</v>
      </c>
      <c r="D10" s="223" t="s">
        <v>317</v>
      </c>
      <c r="E10" s="223" t="s">
        <v>318</v>
      </c>
      <c r="F10" s="223" t="s">
        <v>317</v>
      </c>
      <c r="G10" s="223" t="s">
        <v>319</v>
      </c>
    </row>
    <row r="11" spans="1:7" ht="18" customHeight="1" x14ac:dyDescent="0.2">
      <c r="A11" s="227" t="s">
        <v>5</v>
      </c>
      <c r="B11" s="232">
        <v>3840000</v>
      </c>
      <c r="C11" s="233">
        <f>B11/$B$11</f>
        <v>1</v>
      </c>
      <c r="D11" s="232">
        <v>4224000</v>
      </c>
      <c r="E11" s="233">
        <f>D11/$D$11</f>
        <v>1</v>
      </c>
      <c r="F11" s="232">
        <f>D11-B11</f>
        <v>384000</v>
      </c>
      <c r="G11" s="233">
        <f>F11/B11</f>
        <v>0.1</v>
      </c>
    </row>
    <row r="12" spans="1:7" x14ac:dyDescent="0.2">
      <c r="A12" s="228" t="s">
        <v>99</v>
      </c>
      <c r="B12" s="232">
        <v>2690000</v>
      </c>
      <c r="C12" s="233">
        <f t="shared" ref="C12:C21" si="0">B12/$B$11</f>
        <v>0.70052083333333337</v>
      </c>
      <c r="D12" s="232">
        <v>2800000</v>
      </c>
      <c r="E12" s="233">
        <f t="shared" ref="E12:E21" si="1">D12/$D$11</f>
        <v>0.66287878787878785</v>
      </c>
      <c r="F12" s="232">
        <f>-(D12-B12)</f>
        <v>-110000</v>
      </c>
      <c r="G12" s="233">
        <f t="shared" ref="G12:G21" si="2">F12/B12</f>
        <v>-4.0892193308550186E-2</v>
      </c>
    </row>
    <row r="13" spans="1:7" ht="18" customHeight="1" x14ac:dyDescent="0.2">
      <c r="A13" s="227" t="s">
        <v>100</v>
      </c>
      <c r="B13" s="234">
        <f>B11-B12</f>
        <v>1150000</v>
      </c>
      <c r="C13" s="235">
        <f t="shared" si="0"/>
        <v>0.29947916666666669</v>
      </c>
      <c r="D13" s="234">
        <f>D11-D12</f>
        <v>1424000</v>
      </c>
      <c r="E13" s="235">
        <f t="shared" si="1"/>
        <v>0.3371212121212121</v>
      </c>
      <c r="F13" s="234">
        <f>SUM(F11:F12)</f>
        <v>274000</v>
      </c>
      <c r="G13" s="235">
        <f t="shared" si="2"/>
        <v>0.23826086956521739</v>
      </c>
    </row>
    <row r="14" spans="1:7" x14ac:dyDescent="0.2">
      <c r="A14" s="229" t="s">
        <v>101</v>
      </c>
      <c r="B14" s="232"/>
      <c r="C14" s="233"/>
      <c r="D14" s="232"/>
      <c r="E14" s="233"/>
      <c r="F14" s="232"/>
      <c r="G14" s="233"/>
    </row>
    <row r="15" spans="1:7" x14ac:dyDescent="0.2">
      <c r="A15" s="227" t="s">
        <v>27</v>
      </c>
      <c r="B15" s="232">
        <v>400000</v>
      </c>
      <c r="C15" s="233">
        <f t="shared" si="0"/>
        <v>0.10416666666666667</v>
      </c>
      <c r="D15" s="232">
        <v>496000</v>
      </c>
      <c r="E15" s="233">
        <f t="shared" si="1"/>
        <v>0.11742424242424243</v>
      </c>
      <c r="F15" s="232">
        <f>-(D15-B15)</f>
        <v>-96000</v>
      </c>
      <c r="G15" s="233">
        <f t="shared" si="2"/>
        <v>-0.24</v>
      </c>
    </row>
    <row r="16" spans="1:7" x14ac:dyDescent="0.2">
      <c r="A16" s="227" t="s">
        <v>40</v>
      </c>
      <c r="B16" s="232">
        <v>58000</v>
      </c>
      <c r="C16" s="233">
        <f t="shared" si="0"/>
        <v>1.5104166666666667E-2</v>
      </c>
      <c r="D16" s="232">
        <v>62400</v>
      </c>
      <c r="E16" s="233">
        <f t="shared" si="1"/>
        <v>1.4772727272727272E-2</v>
      </c>
      <c r="F16" s="232">
        <f>-(D16-B16)</f>
        <v>-4400</v>
      </c>
      <c r="G16" s="233">
        <f t="shared" si="2"/>
        <v>-7.586206896551724E-2</v>
      </c>
    </row>
    <row r="17" spans="1:7" x14ac:dyDescent="0.2">
      <c r="A17" s="227" t="s">
        <v>41</v>
      </c>
      <c r="B17" s="232">
        <v>305000</v>
      </c>
      <c r="C17" s="233">
        <f t="shared" si="0"/>
        <v>7.9427083333333329E-2</v>
      </c>
      <c r="D17" s="232">
        <v>278400</v>
      </c>
      <c r="E17" s="233">
        <f t="shared" si="1"/>
        <v>6.5909090909090903E-2</v>
      </c>
      <c r="F17" s="232">
        <f>-(D17-B17)</f>
        <v>26600</v>
      </c>
      <c r="G17" s="233">
        <f t="shared" si="2"/>
        <v>8.7213114754098361E-2</v>
      </c>
    </row>
    <row r="18" spans="1:7" x14ac:dyDescent="0.2">
      <c r="A18" s="227" t="s">
        <v>29</v>
      </c>
      <c r="B18" s="232">
        <v>77000</v>
      </c>
      <c r="C18" s="233">
        <f t="shared" si="0"/>
        <v>2.0052083333333335E-2</v>
      </c>
      <c r="D18" s="232">
        <v>96000</v>
      </c>
      <c r="E18" s="233">
        <f t="shared" si="1"/>
        <v>2.2727272727272728E-2</v>
      </c>
      <c r="F18" s="232">
        <f>-(D18-B18)</f>
        <v>-19000</v>
      </c>
      <c r="G18" s="233">
        <f t="shared" si="2"/>
        <v>-0.24675324675324675</v>
      </c>
    </row>
    <row r="19" spans="1:7" x14ac:dyDescent="0.2">
      <c r="A19" s="230" t="s">
        <v>104</v>
      </c>
      <c r="B19" s="232">
        <v>58000</v>
      </c>
      <c r="C19" s="233">
        <f t="shared" si="0"/>
        <v>1.5104166666666667E-2</v>
      </c>
      <c r="D19" s="232">
        <v>51200</v>
      </c>
      <c r="E19" s="233">
        <f t="shared" si="1"/>
        <v>1.2121212121212121E-2</v>
      </c>
      <c r="F19" s="232">
        <f>-(D19-B19)</f>
        <v>6800</v>
      </c>
      <c r="G19" s="233">
        <f t="shared" si="2"/>
        <v>0.11724137931034483</v>
      </c>
    </row>
    <row r="20" spans="1:7" ht="18" customHeight="1" x14ac:dyDescent="0.2">
      <c r="A20" s="231" t="s">
        <v>43</v>
      </c>
      <c r="B20" s="234">
        <f>SUM(B15:B19)</f>
        <v>898000</v>
      </c>
      <c r="C20" s="235">
        <f t="shared" si="0"/>
        <v>0.23385416666666667</v>
      </c>
      <c r="D20" s="234">
        <f>SUM(D15:D19)</f>
        <v>984000</v>
      </c>
      <c r="E20" s="235">
        <f t="shared" si="1"/>
        <v>0.23295454545454544</v>
      </c>
      <c r="F20" s="234">
        <f>SUM(F15:F19)</f>
        <v>-86000</v>
      </c>
      <c r="G20" s="235">
        <f t="shared" si="2"/>
        <v>-9.5768374164810696E-2</v>
      </c>
    </row>
    <row r="21" spans="1:7" ht="18" customHeight="1" thickBot="1" x14ac:dyDescent="0.25">
      <c r="A21" s="230" t="s">
        <v>9</v>
      </c>
      <c r="B21" s="236">
        <f>B13-B20</f>
        <v>252000</v>
      </c>
      <c r="C21" s="237">
        <f t="shared" si="0"/>
        <v>6.5625000000000003E-2</v>
      </c>
      <c r="D21" s="236">
        <f>D13-D20</f>
        <v>440000</v>
      </c>
      <c r="E21" s="237">
        <f t="shared" si="1"/>
        <v>0.10416666666666667</v>
      </c>
      <c r="F21" s="236">
        <f>F13+F20</f>
        <v>188000</v>
      </c>
      <c r="G21" s="237">
        <f t="shared" si="2"/>
        <v>0.74603174603174605</v>
      </c>
    </row>
    <row r="22" spans="1:7" ht="15.75" thickTop="1" x14ac:dyDescent="0.2"/>
  </sheetData>
  <mergeCells count="3">
    <mergeCell ref="B8:C8"/>
    <mergeCell ref="D8:E8"/>
    <mergeCell ref="F8:G8"/>
  </mergeCells>
  <pageMargins left="0.75" right="0.75" top="1" bottom="1" header="0.5" footer="0.5"/>
  <pageSetup paperSize="9" orientation="portrait" horizontalDpi="0"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44"/>
  <sheetViews>
    <sheetView workbookViewId="0">
      <selection activeCell="I55" sqref="I55"/>
    </sheetView>
  </sheetViews>
  <sheetFormatPr baseColWidth="10" defaultRowHeight="15" x14ac:dyDescent="0.2"/>
  <cols>
    <col min="1" max="1" width="28" style="239" bestFit="1" customWidth="1"/>
    <col min="2" max="7" width="12.7109375" style="239" customWidth="1"/>
    <col min="8" max="256" width="11.42578125" style="239"/>
    <col min="257" max="257" width="25.7109375" style="239" customWidth="1"/>
    <col min="258" max="263" width="10.28515625" style="239" customWidth="1"/>
    <col min="264" max="512" width="11.42578125" style="239"/>
    <col min="513" max="513" width="25.7109375" style="239" customWidth="1"/>
    <col min="514" max="519" width="10.28515625" style="239" customWidth="1"/>
    <col min="520" max="768" width="11.42578125" style="239"/>
    <col min="769" max="769" width="25.7109375" style="239" customWidth="1"/>
    <col min="770" max="775" width="10.28515625" style="239" customWidth="1"/>
    <col min="776" max="1024" width="11.42578125" style="239"/>
    <col min="1025" max="1025" width="25.7109375" style="239" customWidth="1"/>
    <col min="1026" max="1031" width="10.28515625" style="239" customWidth="1"/>
    <col min="1032" max="1280" width="11.42578125" style="239"/>
    <col min="1281" max="1281" width="25.7109375" style="239" customWidth="1"/>
    <col min="1282" max="1287" width="10.28515625" style="239" customWidth="1"/>
    <col min="1288" max="1536" width="11.42578125" style="239"/>
    <col min="1537" max="1537" width="25.7109375" style="239" customWidth="1"/>
    <col min="1538" max="1543" width="10.28515625" style="239" customWidth="1"/>
    <col min="1544" max="1792" width="11.42578125" style="239"/>
    <col min="1793" max="1793" width="25.7109375" style="239" customWidth="1"/>
    <col min="1794" max="1799" width="10.28515625" style="239" customWidth="1"/>
    <col min="1800" max="2048" width="11.42578125" style="239"/>
    <col min="2049" max="2049" width="25.7109375" style="239" customWidth="1"/>
    <col min="2050" max="2055" width="10.28515625" style="239" customWidth="1"/>
    <col min="2056" max="2304" width="11.42578125" style="239"/>
    <col min="2305" max="2305" width="25.7109375" style="239" customWidth="1"/>
    <col min="2306" max="2311" width="10.28515625" style="239" customWidth="1"/>
    <col min="2312" max="2560" width="11.42578125" style="239"/>
    <col min="2561" max="2561" width="25.7109375" style="239" customWidth="1"/>
    <col min="2562" max="2567" width="10.28515625" style="239" customWidth="1"/>
    <col min="2568" max="2816" width="11.42578125" style="239"/>
    <col min="2817" max="2817" width="25.7109375" style="239" customWidth="1"/>
    <col min="2818" max="2823" width="10.28515625" style="239" customWidth="1"/>
    <col min="2824" max="3072" width="11.42578125" style="239"/>
    <col min="3073" max="3073" width="25.7109375" style="239" customWidth="1"/>
    <col min="3074" max="3079" width="10.28515625" style="239" customWidth="1"/>
    <col min="3080" max="3328" width="11.42578125" style="239"/>
    <col min="3329" max="3329" width="25.7109375" style="239" customWidth="1"/>
    <col min="3330" max="3335" width="10.28515625" style="239" customWidth="1"/>
    <col min="3336" max="3584" width="11.42578125" style="239"/>
    <col min="3585" max="3585" width="25.7109375" style="239" customWidth="1"/>
    <col min="3586" max="3591" width="10.28515625" style="239" customWidth="1"/>
    <col min="3592" max="3840" width="11.42578125" style="239"/>
    <col min="3841" max="3841" width="25.7109375" style="239" customWidth="1"/>
    <col min="3842" max="3847" width="10.28515625" style="239" customWidth="1"/>
    <col min="3848" max="4096" width="11.42578125" style="239"/>
    <col min="4097" max="4097" width="25.7109375" style="239" customWidth="1"/>
    <col min="4098" max="4103" width="10.28515625" style="239" customWidth="1"/>
    <col min="4104" max="4352" width="11.42578125" style="239"/>
    <col min="4353" max="4353" width="25.7109375" style="239" customWidth="1"/>
    <col min="4354" max="4359" width="10.28515625" style="239" customWidth="1"/>
    <col min="4360" max="4608" width="11.42578125" style="239"/>
    <col min="4609" max="4609" width="25.7109375" style="239" customWidth="1"/>
    <col min="4610" max="4615" width="10.28515625" style="239" customWidth="1"/>
    <col min="4616" max="4864" width="11.42578125" style="239"/>
    <col min="4865" max="4865" width="25.7109375" style="239" customWidth="1"/>
    <col min="4866" max="4871" width="10.28515625" style="239" customWidth="1"/>
    <col min="4872" max="5120" width="11.42578125" style="239"/>
    <col min="5121" max="5121" width="25.7109375" style="239" customWidth="1"/>
    <col min="5122" max="5127" width="10.28515625" style="239" customWidth="1"/>
    <col min="5128" max="5376" width="11.42578125" style="239"/>
    <col min="5377" max="5377" width="25.7109375" style="239" customWidth="1"/>
    <col min="5378" max="5383" width="10.28515625" style="239" customWidth="1"/>
    <col min="5384" max="5632" width="11.42578125" style="239"/>
    <col min="5633" max="5633" width="25.7109375" style="239" customWidth="1"/>
    <col min="5634" max="5639" width="10.28515625" style="239" customWidth="1"/>
    <col min="5640" max="5888" width="11.42578125" style="239"/>
    <col min="5889" max="5889" width="25.7109375" style="239" customWidth="1"/>
    <col min="5890" max="5895" width="10.28515625" style="239" customWidth="1"/>
    <col min="5896" max="6144" width="11.42578125" style="239"/>
    <col min="6145" max="6145" width="25.7109375" style="239" customWidth="1"/>
    <col min="6146" max="6151" width="10.28515625" style="239" customWidth="1"/>
    <col min="6152" max="6400" width="11.42578125" style="239"/>
    <col min="6401" max="6401" width="25.7109375" style="239" customWidth="1"/>
    <col min="6402" max="6407" width="10.28515625" style="239" customWidth="1"/>
    <col min="6408" max="6656" width="11.42578125" style="239"/>
    <col min="6657" max="6657" width="25.7109375" style="239" customWidth="1"/>
    <col min="6658" max="6663" width="10.28515625" style="239" customWidth="1"/>
    <col min="6664" max="6912" width="11.42578125" style="239"/>
    <col min="6913" max="6913" width="25.7109375" style="239" customWidth="1"/>
    <col min="6914" max="6919" width="10.28515625" style="239" customWidth="1"/>
    <col min="6920" max="7168" width="11.42578125" style="239"/>
    <col min="7169" max="7169" width="25.7109375" style="239" customWidth="1"/>
    <col min="7170" max="7175" width="10.28515625" style="239" customWidth="1"/>
    <col min="7176" max="7424" width="11.42578125" style="239"/>
    <col min="7425" max="7425" width="25.7109375" style="239" customWidth="1"/>
    <col min="7426" max="7431" width="10.28515625" style="239" customWidth="1"/>
    <col min="7432" max="7680" width="11.42578125" style="239"/>
    <col min="7681" max="7681" width="25.7109375" style="239" customWidth="1"/>
    <col min="7682" max="7687" width="10.28515625" style="239" customWidth="1"/>
    <col min="7688" max="7936" width="11.42578125" style="239"/>
    <col min="7937" max="7937" width="25.7109375" style="239" customWidth="1"/>
    <col min="7938" max="7943" width="10.28515625" style="239" customWidth="1"/>
    <col min="7944" max="8192" width="11.42578125" style="239"/>
    <col min="8193" max="8193" width="25.7109375" style="239" customWidth="1"/>
    <col min="8194" max="8199" width="10.28515625" style="239" customWidth="1"/>
    <col min="8200" max="8448" width="11.42578125" style="239"/>
    <col min="8449" max="8449" width="25.7109375" style="239" customWidth="1"/>
    <col min="8450" max="8455" width="10.28515625" style="239" customWidth="1"/>
    <col min="8456" max="8704" width="11.42578125" style="239"/>
    <col min="8705" max="8705" width="25.7109375" style="239" customWidth="1"/>
    <col min="8706" max="8711" width="10.28515625" style="239" customWidth="1"/>
    <col min="8712" max="8960" width="11.42578125" style="239"/>
    <col min="8961" max="8961" width="25.7109375" style="239" customWidth="1"/>
    <col min="8962" max="8967" width="10.28515625" style="239" customWidth="1"/>
    <col min="8968" max="9216" width="11.42578125" style="239"/>
    <col min="9217" max="9217" width="25.7109375" style="239" customWidth="1"/>
    <col min="9218" max="9223" width="10.28515625" style="239" customWidth="1"/>
    <col min="9224" max="9472" width="11.42578125" style="239"/>
    <col min="9473" max="9473" width="25.7109375" style="239" customWidth="1"/>
    <col min="9474" max="9479" width="10.28515625" style="239" customWidth="1"/>
    <col min="9480" max="9728" width="11.42578125" style="239"/>
    <col min="9729" max="9729" width="25.7109375" style="239" customWidth="1"/>
    <col min="9730" max="9735" width="10.28515625" style="239" customWidth="1"/>
    <col min="9736" max="9984" width="11.42578125" style="239"/>
    <col min="9985" max="9985" width="25.7109375" style="239" customWidth="1"/>
    <col min="9986" max="9991" width="10.28515625" style="239" customWidth="1"/>
    <col min="9992" max="10240" width="11.42578125" style="239"/>
    <col min="10241" max="10241" width="25.7109375" style="239" customWidth="1"/>
    <col min="10242" max="10247" width="10.28515625" style="239" customWidth="1"/>
    <col min="10248" max="10496" width="11.42578125" style="239"/>
    <col min="10497" max="10497" width="25.7109375" style="239" customWidth="1"/>
    <col min="10498" max="10503" width="10.28515625" style="239" customWidth="1"/>
    <col min="10504" max="10752" width="11.42578125" style="239"/>
    <col min="10753" max="10753" width="25.7109375" style="239" customWidth="1"/>
    <col min="10754" max="10759" width="10.28515625" style="239" customWidth="1"/>
    <col min="10760" max="11008" width="11.42578125" style="239"/>
    <col min="11009" max="11009" width="25.7109375" style="239" customWidth="1"/>
    <col min="11010" max="11015" width="10.28515625" style="239" customWidth="1"/>
    <col min="11016" max="11264" width="11.42578125" style="239"/>
    <col min="11265" max="11265" width="25.7109375" style="239" customWidth="1"/>
    <col min="11266" max="11271" width="10.28515625" style="239" customWidth="1"/>
    <col min="11272" max="11520" width="11.42578125" style="239"/>
    <col min="11521" max="11521" width="25.7109375" style="239" customWidth="1"/>
    <col min="11522" max="11527" width="10.28515625" style="239" customWidth="1"/>
    <col min="11528" max="11776" width="11.42578125" style="239"/>
    <col min="11777" max="11777" width="25.7109375" style="239" customWidth="1"/>
    <col min="11778" max="11783" width="10.28515625" style="239" customWidth="1"/>
    <col min="11784" max="12032" width="11.42578125" style="239"/>
    <col min="12033" max="12033" width="25.7109375" style="239" customWidth="1"/>
    <col min="12034" max="12039" width="10.28515625" style="239" customWidth="1"/>
    <col min="12040" max="12288" width="11.42578125" style="239"/>
    <col min="12289" max="12289" width="25.7109375" style="239" customWidth="1"/>
    <col min="12290" max="12295" width="10.28515625" style="239" customWidth="1"/>
    <col min="12296" max="12544" width="11.42578125" style="239"/>
    <col min="12545" max="12545" width="25.7109375" style="239" customWidth="1"/>
    <col min="12546" max="12551" width="10.28515625" style="239" customWidth="1"/>
    <col min="12552" max="12800" width="11.42578125" style="239"/>
    <col min="12801" max="12801" width="25.7109375" style="239" customWidth="1"/>
    <col min="12802" max="12807" width="10.28515625" style="239" customWidth="1"/>
    <col min="12808" max="13056" width="11.42578125" style="239"/>
    <col min="13057" max="13057" width="25.7109375" style="239" customWidth="1"/>
    <col min="13058" max="13063" width="10.28515625" style="239" customWidth="1"/>
    <col min="13064" max="13312" width="11.42578125" style="239"/>
    <col min="13313" max="13313" width="25.7109375" style="239" customWidth="1"/>
    <col min="13314" max="13319" width="10.28515625" style="239" customWidth="1"/>
    <col min="13320" max="13568" width="11.42578125" style="239"/>
    <col min="13569" max="13569" width="25.7109375" style="239" customWidth="1"/>
    <col min="13570" max="13575" width="10.28515625" style="239" customWidth="1"/>
    <col min="13576" max="13824" width="11.42578125" style="239"/>
    <col min="13825" max="13825" width="25.7109375" style="239" customWidth="1"/>
    <col min="13826" max="13831" width="10.28515625" style="239" customWidth="1"/>
    <col min="13832" max="14080" width="11.42578125" style="239"/>
    <col min="14081" max="14081" width="25.7109375" style="239" customWidth="1"/>
    <col min="14082" max="14087" width="10.28515625" style="239" customWidth="1"/>
    <col min="14088" max="14336" width="11.42578125" style="239"/>
    <col min="14337" max="14337" width="25.7109375" style="239" customWidth="1"/>
    <col min="14338" max="14343" width="10.28515625" style="239" customWidth="1"/>
    <col min="14344" max="14592" width="11.42578125" style="239"/>
    <col min="14593" max="14593" width="25.7109375" style="239" customWidth="1"/>
    <col min="14594" max="14599" width="10.28515625" style="239" customWidth="1"/>
    <col min="14600" max="14848" width="11.42578125" style="239"/>
    <col min="14849" max="14849" width="25.7109375" style="239" customWidth="1"/>
    <col min="14850" max="14855" width="10.28515625" style="239" customWidth="1"/>
    <col min="14856" max="15104" width="11.42578125" style="239"/>
    <col min="15105" max="15105" width="25.7109375" style="239" customWidth="1"/>
    <col min="15106" max="15111" width="10.28515625" style="239" customWidth="1"/>
    <col min="15112" max="15360" width="11.42578125" style="239"/>
    <col min="15361" max="15361" width="25.7109375" style="239" customWidth="1"/>
    <col min="15362" max="15367" width="10.28515625" style="239" customWidth="1"/>
    <col min="15368" max="15616" width="11.42578125" style="239"/>
    <col min="15617" max="15617" width="25.7109375" style="239" customWidth="1"/>
    <col min="15618" max="15623" width="10.28515625" style="239" customWidth="1"/>
    <col min="15624" max="15872" width="11.42578125" style="239"/>
    <col min="15873" max="15873" width="25.7109375" style="239" customWidth="1"/>
    <col min="15874" max="15879" width="10.28515625" style="239" customWidth="1"/>
    <col min="15880" max="16128" width="11.42578125" style="239"/>
    <col min="16129" max="16129" width="25.7109375" style="239" customWidth="1"/>
    <col min="16130" max="16135" width="10.28515625" style="239" customWidth="1"/>
    <col min="16136" max="16384" width="11.42578125" style="239"/>
  </cols>
  <sheetData>
    <row r="5" spans="1:7" ht="18.75" x14ac:dyDescent="0.3">
      <c r="A5" s="240" t="s">
        <v>381</v>
      </c>
    </row>
    <row r="6" spans="1:7" ht="15.75" x14ac:dyDescent="0.25">
      <c r="A6" s="238"/>
    </row>
    <row r="7" spans="1:7" x14ac:dyDescent="0.2">
      <c r="A7" s="239" t="s">
        <v>380</v>
      </c>
    </row>
    <row r="8" spans="1:7" s="238" customFormat="1" ht="18" customHeight="1" x14ac:dyDescent="0.25">
      <c r="A8" s="240"/>
      <c r="B8" s="323" t="s">
        <v>93</v>
      </c>
      <c r="C8" s="323"/>
      <c r="D8" s="323" t="s">
        <v>91</v>
      </c>
      <c r="E8" s="323"/>
      <c r="F8" s="323" t="s">
        <v>315</v>
      </c>
      <c r="G8" s="323"/>
    </row>
    <row r="9" spans="1:7" x14ac:dyDescent="0.2">
      <c r="B9" s="252"/>
      <c r="C9" s="253" t="s">
        <v>316</v>
      </c>
      <c r="D9" s="252"/>
      <c r="E9" s="253" t="s">
        <v>316</v>
      </c>
      <c r="F9" s="252"/>
      <c r="G9" s="252" t="s">
        <v>316</v>
      </c>
    </row>
    <row r="10" spans="1:7" x14ac:dyDescent="0.2">
      <c r="A10" s="241"/>
      <c r="B10" s="254" t="s">
        <v>317</v>
      </c>
      <c r="C10" s="254" t="s">
        <v>318</v>
      </c>
      <c r="D10" s="254" t="s">
        <v>317</v>
      </c>
      <c r="E10" s="254" t="s">
        <v>318</v>
      </c>
      <c r="F10" s="254" t="s">
        <v>317</v>
      </c>
      <c r="G10" s="254" t="s">
        <v>319</v>
      </c>
    </row>
    <row r="11" spans="1:7" ht="18" customHeight="1" x14ac:dyDescent="0.2">
      <c r="A11" s="239" t="s">
        <v>5</v>
      </c>
      <c r="B11" s="242">
        <v>6000000</v>
      </c>
      <c r="C11" s="243">
        <f>B11/$B$11</f>
        <v>1</v>
      </c>
      <c r="D11" s="242">
        <v>6370000</v>
      </c>
      <c r="E11" s="243">
        <f>D11/$D$11</f>
        <v>1</v>
      </c>
      <c r="F11" s="242">
        <f>D11-B11</f>
        <v>370000</v>
      </c>
      <c r="G11" s="243">
        <f>F11/B11</f>
        <v>6.1666666666666668E-2</v>
      </c>
    </row>
    <row r="12" spans="1:7" x14ac:dyDescent="0.2">
      <c r="A12" s="244" t="s">
        <v>200</v>
      </c>
      <c r="B12" s="242">
        <v>3600000</v>
      </c>
      <c r="C12" s="243">
        <f t="shared" ref="C12:C29" si="0">B12/$B$11</f>
        <v>0.6</v>
      </c>
      <c r="D12" s="242">
        <v>3910000</v>
      </c>
      <c r="E12" s="243">
        <f t="shared" ref="E12:E29" si="1">D12/$D$11</f>
        <v>0.61381475667189955</v>
      </c>
      <c r="F12" s="242">
        <f>-(D12-B12)</f>
        <v>-310000</v>
      </c>
      <c r="G12" s="243">
        <f t="shared" ref="G12:G29" si="2">F12/B12</f>
        <v>-8.611111111111111E-2</v>
      </c>
    </row>
    <row r="13" spans="1:7" ht="18" customHeight="1" x14ac:dyDescent="0.2">
      <c r="A13" s="244" t="s">
        <v>36</v>
      </c>
      <c r="B13" s="245">
        <f>B11-B12</f>
        <v>2400000</v>
      </c>
      <c r="C13" s="246">
        <f t="shared" si="0"/>
        <v>0.4</v>
      </c>
      <c r="D13" s="245">
        <f>D11-D12</f>
        <v>2460000</v>
      </c>
      <c r="E13" s="246">
        <f t="shared" si="1"/>
        <v>0.38618524332810045</v>
      </c>
      <c r="F13" s="245">
        <f>SUM(F11:F12)</f>
        <v>60000</v>
      </c>
      <c r="G13" s="246">
        <f t="shared" si="2"/>
        <v>2.5000000000000001E-2</v>
      </c>
    </row>
    <row r="14" spans="1:7" x14ac:dyDescent="0.2">
      <c r="A14" s="247" t="s">
        <v>320</v>
      </c>
      <c r="B14" s="242"/>
      <c r="C14" s="243"/>
      <c r="D14" s="242"/>
      <c r="E14" s="243"/>
      <c r="F14" s="242"/>
      <c r="G14" s="243"/>
    </row>
    <row r="15" spans="1:7" x14ac:dyDescent="0.2">
      <c r="A15" s="244" t="s">
        <v>135</v>
      </c>
      <c r="B15" s="242">
        <v>1200000</v>
      </c>
      <c r="C15" s="243">
        <f t="shared" si="0"/>
        <v>0.2</v>
      </c>
      <c r="D15" s="242">
        <v>1130000</v>
      </c>
      <c r="E15" s="243">
        <f t="shared" si="1"/>
        <v>0.17739403453689168</v>
      </c>
      <c r="F15" s="242">
        <f>-(D15-B15)</f>
        <v>70000</v>
      </c>
      <c r="G15" s="243">
        <f t="shared" si="2"/>
        <v>5.8333333333333334E-2</v>
      </c>
    </row>
    <row r="16" spans="1:7" x14ac:dyDescent="0.2">
      <c r="A16" s="239" t="s">
        <v>40</v>
      </c>
      <c r="B16" s="242">
        <v>360000</v>
      </c>
      <c r="C16" s="243">
        <f t="shared" si="0"/>
        <v>0.06</v>
      </c>
      <c r="D16" s="242">
        <v>366000</v>
      </c>
      <c r="E16" s="243">
        <f t="shared" si="1"/>
        <v>5.7456828885400317E-2</v>
      </c>
      <c r="F16" s="242">
        <f t="shared" ref="F16:F23" si="3">-(D16-B16)</f>
        <v>-6000</v>
      </c>
      <c r="G16" s="243">
        <f t="shared" si="2"/>
        <v>-1.6666666666666666E-2</v>
      </c>
    </row>
    <row r="17" spans="1:10" x14ac:dyDescent="0.2">
      <c r="A17" s="239" t="s">
        <v>321</v>
      </c>
      <c r="B17" s="242">
        <v>65000</v>
      </c>
      <c r="C17" s="243">
        <f t="shared" si="0"/>
        <v>1.0833333333333334E-2</v>
      </c>
      <c r="D17" s="242">
        <v>44600</v>
      </c>
      <c r="E17" s="243">
        <f t="shared" si="1"/>
        <v>7.0015698587127155E-3</v>
      </c>
      <c r="F17" s="242">
        <f t="shared" si="3"/>
        <v>20400</v>
      </c>
      <c r="G17" s="243">
        <f t="shared" si="2"/>
        <v>0.31384615384615383</v>
      </c>
    </row>
    <row r="18" spans="1:10" x14ac:dyDescent="0.2">
      <c r="A18" s="239" t="s">
        <v>322</v>
      </c>
      <c r="B18" s="242">
        <v>15000</v>
      </c>
      <c r="C18" s="243">
        <f t="shared" si="0"/>
        <v>2.5000000000000001E-3</v>
      </c>
      <c r="D18" s="242">
        <v>35400</v>
      </c>
      <c r="E18" s="243">
        <f t="shared" si="1"/>
        <v>5.5572998430141289E-3</v>
      </c>
      <c r="F18" s="242">
        <f t="shared" si="3"/>
        <v>-20400</v>
      </c>
      <c r="G18" s="243">
        <f t="shared" si="2"/>
        <v>-1.36</v>
      </c>
    </row>
    <row r="19" spans="1:10" x14ac:dyDescent="0.2">
      <c r="A19" s="239" t="s">
        <v>323</v>
      </c>
      <c r="B19" s="242">
        <v>54000</v>
      </c>
      <c r="C19" s="243">
        <f t="shared" si="0"/>
        <v>8.9999999999999993E-3</v>
      </c>
      <c r="D19" s="242">
        <v>49100</v>
      </c>
      <c r="E19" s="243">
        <f t="shared" si="1"/>
        <v>7.708006279434851E-3</v>
      </c>
      <c r="F19" s="242">
        <f t="shared" si="3"/>
        <v>4900</v>
      </c>
      <c r="G19" s="243">
        <f t="shared" si="2"/>
        <v>9.0740740740740747E-2</v>
      </c>
    </row>
    <row r="20" spans="1:10" x14ac:dyDescent="0.2">
      <c r="A20" s="239" t="s">
        <v>324</v>
      </c>
      <c r="B20" s="242">
        <v>62000</v>
      </c>
      <c r="C20" s="243">
        <f t="shared" si="0"/>
        <v>1.0333333333333333E-2</v>
      </c>
      <c r="D20" s="242">
        <v>53700</v>
      </c>
      <c r="E20" s="243">
        <f t="shared" si="1"/>
        <v>8.4301412872841448E-3</v>
      </c>
      <c r="F20" s="242">
        <f t="shared" si="3"/>
        <v>8300</v>
      </c>
      <c r="G20" s="243">
        <f t="shared" si="2"/>
        <v>0.13387096774193549</v>
      </c>
    </row>
    <row r="21" spans="1:10" x14ac:dyDescent="0.2">
      <c r="A21" s="239" t="s">
        <v>325</v>
      </c>
      <c r="B21" s="242">
        <v>65000</v>
      </c>
      <c r="C21" s="243">
        <f t="shared" si="0"/>
        <v>1.0833333333333334E-2</v>
      </c>
      <c r="D21" s="242">
        <v>60000</v>
      </c>
      <c r="E21" s="243">
        <f t="shared" si="1"/>
        <v>9.4191522762951327E-3</v>
      </c>
      <c r="F21" s="242">
        <f t="shared" si="3"/>
        <v>5000</v>
      </c>
      <c r="G21" s="243">
        <f t="shared" si="2"/>
        <v>7.6923076923076927E-2</v>
      </c>
    </row>
    <row r="22" spans="1:10" x14ac:dyDescent="0.2">
      <c r="A22" s="239" t="s">
        <v>103</v>
      </c>
      <c r="B22" s="242">
        <v>80000</v>
      </c>
      <c r="C22" s="243">
        <f t="shared" si="0"/>
        <v>1.3333333333333334E-2</v>
      </c>
      <c r="D22" s="242">
        <v>88000</v>
      </c>
      <c r="E22" s="243">
        <f t="shared" si="1"/>
        <v>1.3814756671899528E-2</v>
      </c>
      <c r="F22" s="242">
        <f t="shared" si="3"/>
        <v>-8000</v>
      </c>
      <c r="G22" s="243">
        <f t="shared" si="2"/>
        <v>-0.1</v>
      </c>
    </row>
    <row r="23" spans="1:10" x14ac:dyDescent="0.2">
      <c r="A23" s="239" t="s">
        <v>326</v>
      </c>
      <c r="B23" s="242">
        <v>78000</v>
      </c>
      <c r="C23" s="243">
        <f t="shared" si="0"/>
        <v>1.2999999999999999E-2</v>
      </c>
      <c r="D23" s="242">
        <v>70300</v>
      </c>
      <c r="E23" s="243">
        <f t="shared" si="1"/>
        <v>1.1036106750392464E-2</v>
      </c>
      <c r="F23" s="242">
        <f t="shared" si="3"/>
        <v>7700</v>
      </c>
      <c r="G23" s="243">
        <f t="shared" si="2"/>
        <v>9.8717948717948714E-2</v>
      </c>
    </row>
    <row r="24" spans="1:10" x14ac:dyDescent="0.2">
      <c r="A24" s="239" t="s">
        <v>327</v>
      </c>
      <c r="B24" s="242">
        <v>18000</v>
      </c>
      <c r="C24" s="243">
        <f t="shared" si="0"/>
        <v>3.0000000000000001E-3</v>
      </c>
      <c r="D24" s="242">
        <v>20000</v>
      </c>
      <c r="E24" s="243">
        <f t="shared" si="1"/>
        <v>3.1397174254317113E-3</v>
      </c>
      <c r="F24" s="242">
        <f>-(D24-B24)</f>
        <v>-2000</v>
      </c>
      <c r="G24" s="243">
        <f t="shared" si="2"/>
        <v>-0.1111111111111111</v>
      </c>
    </row>
    <row r="25" spans="1:10" x14ac:dyDescent="0.2">
      <c r="A25" s="239" t="s">
        <v>41</v>
      </c>
      <c r="B25" s="242">
        <v>200000</v>
      </c>
      <c r="C25" s="243">
        <f t="shared" si="0"/>
        <v>3.3333333333333333E-2</v>
      </c>
      <c r="D25" s="242">
        <v>185000</v>
      </c>
      <c r="E25" s="243">
        <f t="shared" si="1"/>
        <v>2.9042386185243328E-2</v>
      </c>
      <c r="F25" s="242">
        <f>-(D25-B25)</f>
        <v>15000</v>
      </c>
      <c r="G25" s="243">
        <f t="shared" si="2"/>
        <v>7.4999999999999997E-2</v>
      </c>
    </row>
    <row r="26" spans="1:10" x14ac:dyDescent="0.2">
      <c r="A26" s="239" t="s">
        <v>29</v>
      </c>
      <c r="B26" s="242">
        <v>125000</v>
      </c>
      <c r="C26" s="243">
        <f t="shared" si="0"/>
        <v>2.0833333333333332E-2</v>
      </c>
      <c r="D26" s="242">
        <v>125000</v>
      </c>
      <c r="E26" s="243">
        <f t="shared" si="1"/>
        <v>1.9623233908948195E-2</v>
      </c>
      <c r="F26" s="242">
        <f>-(D26-B26)</f>
        <v>0</v>
      </c>
      <c r="G26" s="243">
        <f t="shared" si="2"/>
        <v>0</v>
      </c>
      <c r="J26" s="248"/>
    </row>
    <row r="27" spans="1:10" x14ac:dyDescent="0.2">
      <c r="A27" s="241" t="s">
        <v>104</v>
      </c>
      <c r="B27" s="242">
        <v>45000</v>
      </c>
      <c r="C27" s="243">
        <f t="shared" si="0"/>
        <v>7.4999999999999997E-3</v>
      </c>
      <c r="D27" s="242">
        <v>52800</v>
      </c>
      <c r="E27" s="243">
        <f t="shared" si="1"/>
        <v>8.2888540031397177E-3</v>
      </c>
      <c r="F27" s="242">
        <f>-(D27-B27)</f>
        <v>-7800</v>
      </c>
      <c r="G27" s="243">
        <f t="shared" si="2"/>
        <v>-0.17333333333333334</v>
      </c>
    </row>
    <row r="28" spans="1:10" ht="18" customHeight="1" x14ac:dyDescent="0.2">
      <c r="A28" s="249" t="s">
        <v>43</v>
      </c>
      <c r="B28" s="245">
        <f>SUM(B15:B27)</f>
        <v>2367000</v>
      </c>
      <c r="C28" s="246">
        <f t="shared" si="0"/>
        <v>0.39450000000000002</v>
      </c>
      <c r="D28" s="245">
        <f>SUM(D15:D27)</f>
        <v>2279900</v>
      </c>
      <c r="E28" s="246">
        <f t="shared" si="1"/>
        <v>0.3579120879120879</v>
      </c>
      <c r="F28" s="245">
        <f>SUM(F15:F27)</f>
        <v>87100</v>
      </c>
      <c r="G28" s="246">
        <f t="shared" si="2"/>
        <v>3.6797634136037177E-2</v>
      </c>
      <c r="J28" s="248"/>
    </row>
    <row r="29" spans="1:10" ht="18" customHeight="1" thickBot="1" x14ac:dyDescent="0.25">
      <c r="A29" s="241" t="s">
        <v>9</v>
      </c>
      <c r="B29" s="250">
        <f>B13-B28</f>
        <v>33000</v>
      </c>
      <c r="C29" s="251">
        <f t="shared" si="0"/>
        <v>5.4999999999999997E-3</v>
      </c>
      <c r="D29" s="250">
        <f>D13-D28</f>
        <v>180100</v>
      </c>
      <c r="E29" s="251">
        <f t="shared" si="1"/>
        <v>2.8273155416012559E-2</v>
      </c>
      <c r="F29" s="250">
        <f>F13+F28</f>
        <v>147100</v>
      </c>
      <c r="G29" s="251">
        <f t="shared" si="2"/>
        <v>4.457575757575758</v>
      </c>
    </row>
    <row r="30" spans="1:10" ht="15.75" thickTop="1" x14ac:dyDescent="0.2"/>
    <row r="40" spans="9:12" x14ac:dyDescent="0.2">
      <c r="I40" s="248"/>
    </row>
    <row r="44" spans="9:12" x14ac:dyDescent="0.2">
      <c r="L44" s="248"/>
    </row>
  </sheetData>
  <mergeCells count="3">
    <mergeCell ref="B8:C8"/>
    <mergeCell ref="D8:E8"/>
    <mergeCell ref="F8:G8"/>
  </mergeCells>
  <pageMargins left="0.75" right="0.75" top="1" bottom="1" header="0.5" footer="0.5"/>
  <pageSetup paperSize="9" orientation="portrait" horizontalDpi="0"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34"/>
  <sheetViews>
    <sheetView workbookViewId="0">
      <selection activeCell="A5" sqref="A5"/>
    </sheetView>
  </sheetViews>
  <sheetFormatPr baseColWidth="10" defaultRowHeight="15" x14ac:dyDescent="0.25"/>
  <cols>
    <col min="1" max="1" width="25.7109375" customWidth="1"/>
    <col min="2" max="2" width="12.7109375" customWidth="1"/>
    <col min="3" max="3" width="12.28515625" customWidth="1"/>
    <col min="4" max="5" width="12.7109375" bestFit="1" customWidth="1"/>
    <col min="6" max="6" width="12.140625" bestFit="1" customWidth="1"/>
  </cols>
  <sheetData>
    <row r="5" spans="1:7" ht="18.75" x14ac:dyDescent="0.3">
      <c r="A5" s="278" t="s">
        <v>383</v>
      </c>
      <c r="B5" s="53"/>
    </row>
    <row r="6" spans="1:7" ht="15.75" x14ac:dyDescent="0.25">
      <c r="A6" s="53"/>
      <c r="B6" s="53"/>
    </row>
    <row r="7" spans="1:7" x14ac:dyDescent="0.25">
      <c r="A7" s="10" t="s">
        <v>382</v>
      </c>
      <c r="B7" s="10"/>
      <c r="C7" s="10"/>
    </row>
    <row r="8" spans="1:7" ht="15.75" x14ac:dyDescent="0.25">
      <c r="A8" s="240"/>
      <c r="B8" s="323" t="s">
        <v>93</v>
      </c>
      <c r="C8" s="323"/>
      <c r="D8" s="323" t="s">
        <v>91</v>
      </c>
      <c r="E8" s="323"/>
      <c r="F8" s="323" t="s">
        <v>315</v>
      </c>
      <c r="G8" s="323"/>
    </row>
    <row r="9" spans="1:7" ht="15.75" x14ac:dyDescent="0.25">
      <c r="A9" s="239"/>
      <c r="B9" s="252"/>
      <c r="C9" s="253" t="s">
        <v>316</v>
      </c>
      <c r="D9" s="252"/>
      <c r="E9" s="253" t="s">
        <v>316</v>
      </c>
      <c r="F9" s="252"/>
      <c r="G9" s="252" t="s">
        <v>316</v>
      </c>
    </row>
    <row r="10" spans="1:7" ht="15.75" x14ac:dyDescent="0.25">
      <c r="A10" s="241"/>
      <c r="B10" s="254" t="s">
        <v>317</v>
      </c>
      <c r="C10" s="254" t="s">
        <v>318</v>
      </c>
      <c r="D10" s="254" t="s">
        <v>317</v>
      </c>
      <c r="E10" s="254" t="s">
        <v>318</v>
      </c>
      <c r="F10" s="254" t="s">
        <v>317</v>
      </c>
      <c r="G10" s="254" t="s">
        <v>319</v>
      </c>
    </row>
    <row r="11" spans="1:7" ht="15.75" x14ac:dyDescent="0.25">
      <c r="A11" s="239" t="s">
        <v>5</v>
      </c>
      <c r="B11" s="242">
        <v>42000000</v>
      </c>
      <c r="C11" s="243"/>
      <c r="D11" s="242">
        <v>41688000</v>
      </c>
      <c r="E11" s="243"/>
      <c r="F11" s="242"/>
      <c r="G11" s="243"/>
    </row>
    <row r="12" spans="1:7" ht="16.5" thickBot="1" x14ac:dyDescent="0.3">
      <c r="A12" s="238" t="s">
        <v>273</v>
      </c>
      <c r="B12" s="258">
        <f>B11</f>
        <v>42000000</v>
      </c>
      <c r="C12" s="256">
        <f>B12/$B$12</f>
        <v>1</v>
      </c>
      <c r="D12" s="258">
        <f>D11</f>
        <v>41688000</v>
      </c>
      <c r="E12" s="256">
        <f>D12/$D$12</f>
        <v>1</v>
      </c>
      <c r="F12" s="255">
        <f>D12-B12</f>
        <v>-312000</v>
      </c>
      <c r="G12" s="256">
        <f>F12/B12</f>
        <v>-7.4285714285714285E-3</v>
      </c>
    </row>
    <row r="13" spans="1:7" ht="15.75" x14ac:dyDescent="0.25">
      <c r="A13" s="239" t="s">
        <v>328</v>
      </c>
      <c r="B13" s="242">
        <v>23000000</v>
      </c>
      <c r="C13" s="243">
        <f t="shared" ref="C13:C24" si="0">B13/$B$12</f>
        <v>0.54761904761904767</v>
      </c>
      <c r="D13" s="242">
        <v>23674000</v>
      </c>
      <c r="E13" s="243">
        <f t="shared" ref="E13:E24" si="1">D13/$D$12</f>
        <v>0.56788524275570906</v>
      </c>
      <c r="F13" s="242">
        <f>B13-D13</f>
        <v>-674000</v>
      </c>
      <c r="G13" s="243">
        <f t="shared" ref="G13:G24" si="2">F13/B13</f>
        <v>-2.9304347826086957E-2</v>
      </c>
    </row>
    <row r="14" spans="1:7" ht="15.75" x14ac:dyDescent="0.25">
      <c r="A14" s="244" t="s">
        <v>38</v>
      </c>
      <c r="B14" s="259">
        <v>11000000</v>
      </c>
      <c r="C14" s="263">
        <f t="shared" si="0"/>
        <v>0.26190476190476192</v>
      </c>
      <c r="D14" s="264">
        <v>11476000</v>
      </c>
      <c r="E14" s="263">
        <f t="shared" si="1"/>
        <v>0.2752830550758012</v>
      </c>
      <c r="F14" s="264">
        <f t="shared" ref="F14:F20" si="3">B14-D14</f>
        <v>-476000</v>
      </c>
      <c r="G14" s="263">
        <f t="shared" si="2"/>
        <v>-4.3272727272727275E-2</v>
      </c>
    </row>
    <row r="15" spans="1:7" ht="15.75" x14ac:dyDescent="0.25">
      <c r="A15" s="244" t="s">
        <v>329</v>
      </c>
      <c r="B15" s="259">
        <v>100000</v>
      </c>
      <c r="C15" s="263">
        <f t="shared" si="0"/>
        <v>2.3809523809523812E-3</v>
      </c>
      <c r="D15" s="264">
        <v>95000</v>
      </c>
      <c r="E15" s="263">
        <f t="shared" si="1"/>
        <v>2.2788332373824601E-3</v>
      </c>
      <c r="F15" s="264">
        <f t="shared" si="3"/>
        <v>5000</v>
      </c>
      <c r="G15" s="263">
        <f t="shared" si="2"/>
        <v>0.05</v>
      </c>
    </row>
    <row r="16" spans="1:7" ht="15.75" x14ac:dyDescent="0.25">
      <c r="A16" s="239" t="s">
        <v>40</v>
      </c>
      <c r="B16" s="259">
        <v>1100000</v>
      </c>
      <c r="C16" s="263">
        <f t="shared" si="0"/>
        <v>2.6190476190476191E-2</v>
      </c>
      <c r="D16" s="264">
        <v>1200000</v>
      </c>
      <c r="E16" s="263">
        <f t="shared" si="1"/>
        <v>2.8785261945883708E-2</v>
      </c>
      <c r="F16" s="264">
        <f t="shared" si="3"/>
        <v>-100000</v>
      </c>
      <c r="G16" s="263">
        <f t="shared" si="2"/>
        <v>-9.0909090909090912E-2</v>
      </c>
    </row>
    <row r="17" spans="1:7" ht="15.75" x14ac:dyDescent="0.25">
      <c r="A17" s="239" t="s">
        <v>333</v>
      </c>
      <c r="B17" s="259">
        <v>150000</v>
      </c>
      <c r="C17" s="263">
        <f t="shared" si="0"/>
        <v>3.5714285714285713E-3</v>
      </c>
      <c r="D17" s="264">
        <v>200000</v>
      </c>
      <c r="E17" s="263">
        <f t="shared" si="1"/>
        <v>4.7975436576472843E-3</v>
      </c>
      <c r="F17" s="264">
        <f t="shared" si="3"/>
        <v>-50000</v>
      </c>
      <c r="G17" s="263">
        <f t="shared" si="2"/>
        <v>-0.33333333333333331</v>
      </c>
    </row>
    <row r="18" spans="1:7" ht="15.75" x14ac:dyDescent="0.25">
      <c r="A18" s="239" t="s">
        <v>334</v>
      </c>
      <c r="B18" s="259">
        <v>900000</v>
      </c>
      <c r="C18" s="263">
        <f t="shared" si="0"/>
        <v>2.1428571428571429E-2</v>
      </c>
      <c r="D18" s="264">
        <v>800000</v>
      </c>
      <c r="E18" s="263">
        <f t="shared" si="1"/>
        <v>1.9190174630589137E-2</v>
      </c>
      <c r="F18" s="264">
        <f t="shared" si="3"/>
        <v>100000</v>
      </c>
      <c r="G18" s="263">
        <f t="shared" si="2"/>
        <v>0.1111111111111111</v>
      </c>
    </row>
    <row r="19" spans="1:7" ht="16.5" thickBot="1" x14ac:dyDescent="0.3">
      <c r="A19" s="239" t="s">
        <v>41</v>
      </c>
      <c r="B19" s="260">
        <v>2500000</v>
      </c>
      <c r="C19" s="268">
        <f t="shared" si="0"/>
        <v>5.9523809523809521E-2</v>
      </c>
      <c r="D19" s="265">
        <v>2607000</v>
      </c>
      <c r="E19" s="268">
        <f t="shared" si="1"/>
        <v>6.2535981577432356E-2</v>
      </c>
      <c r="F19" s="265">
        <f t="shared" si="3"/>
        <v>-107000</v>
      </c>
      <c r="G19" s="268">
        <f t="shared" si="2"/>
        <v>-4.2799999999999998E-2</v>
      </c>
    </row>
    <row r="20" spans="1:7" ht="16.5" thickBot="1" x14ac:dyDescent="0.3">
      <c r="A20" s="238" t="s">
        <v>30</v>
      </c>
      <c r="B20" s="261">
        <f>SUM(B13:B19)</f>
        <v>38750000</v>
      </c>
      <c r="C20" s="269">
        <f t="shared" si="0"/>
        <v>0.92261904761904767</v>
      </c>
      <c r="D20" s="267">
        <f>SUM(D13:D19)</f>
        <v>40052000</v>
      </c>
      <c r="E20" s="269">
        <f t="shared" si="1"/>
        <v>0.96075609288044517</v>
      </c>
      <c r="F20" s="266">
        <f t="shared" si="3"/>
        <v>-1302000</v>
      </c>
      <c r="G20" s="269">
        <f t="shared" si="2"/>
        <v>-3.3599999999999998E-2</v>
      </c>
    </row>
    <row r="21" spans="1:7" ht="16.5" thickBot="1" x14ac:dyDescent="0.3">
      <c r="A21" s="257" t="s">
        <v>106</v>
      </c>
      <c r="B21" s="262">
        <f>B12-B20</f>
        <v>3250000</v>
      </c>
      <c r="C21" s="268">
        <f t="shared" si="0"/>
        <v>7.7380952380952384E-2</v>
      </c>
      <c r="D21" s="267">
        <f>D12-D20</f>
        <v>1636000</v>
      </c>
      <c r="E21" s="269">
        <f t="shared" si="1"/>
        <v>3.9243907119554791E-2</v>
      </c>
      <c r="F21" s="266">
        <f t="shared" ref="F21" si="4">D21-B21</f>
        <v>-1614000</v>
      </c>
      <c r="G21" s="269">
        <f t="shared" si="2"/>
        <v>-0.49661538461538463</v>
      </c>
    </row>
    <row r="22" spans="1:7" ht="15.75" x14ac:dyDescent="0.25">
      <c r="A22" s="239" t="s">
        <v>330</v>
      </c>
      <c r="B22" s="259">
        <v>40000</v>
      </c>
      <c r="C22" s="263">
        <f t="shared" si="0"/>
        <v>9.5238095238095238E-4</v>
      </c>
      <c r="D22" s="264">
        <v>45000</v>
      </c>
      <c r="E22" s="263">
        <f t="shared" si="1"/>
        <v>1.079447322970639E-3</v>
      </c>
      <c r="F22" s="264">
        <f>D22-B22</f>
        <v>5000</v>
      </c>
      <c r="G22" s="263">
        <f t="shared" si="2"/>
        <v>0.125</v>
      </c>
    </row>
    <row r="23" spans="1:7" ht="16.5" thickBot="1" x14ac:dyDescent="0.3">
      <c r="A23" s="239" t="s">
        <v>331</v>
      </c>
      <c r="B23" s="260">
        <v>220000</v>
      </c>
      <c r="C23" s="268">
        <f t="shared" si="0"/>
        <v>5.2380952380952379E-3</v>
      </c>
      <c r="D23" s="265">
        <v>195000</v>
      </c>
      <c r="E23" s="268">
        <f t="shared" si="1"/>
        <v>4.6776050662061027E-3</v>
      </c>
      <c r="F23" s="265">
        <f>B23-D23</f>
        <v>25000</v>
      </c>
      <c r="G23" s="268">
        <f t="shared" si="2"/>
        <v>0.11363636363636363</v>
      </c>
    </row>
    <row r="24" spans="1:7" ht="16.5" thickBot="1" x14ac:dyDescent="0.3">
      <c r="A24" s="238" t="s">
        <v>332</v>
      </c>
      <c r="B24" s="262">
        <f>B21+B22-B23</f>
        <v>3070000</v>
      </c>
      <c r="C24" s="269">
        <f t="shared" si="0"/>
        <v>7.3095238095238102E-2</v>
      </c>
      <c r="D24" s="267">
        <f>D21+D22-D23</f>
        <v>1486000</v>
      </c>
      <c r="E24" s="269">
        <f t="shared" si="1"/>
        <v>3.5645749376319327E-2</v>
      </c>
      <c r="F24" s="266">
        <f>D24-B24</f>
        <v>-1584000</v>
      </c>
      <c r="G24" s="269">
        <f t="shared" si="2"/>
        <v>-0.51596091205211725</v>
      </c>
    </row>
    <row r="25" spans="1:7" x14ac:dyDescent="0.25">
      <c r="A25" s="107"/>
      <c r="B25" s="107"/>
      <c r="C25" s="107"/>
      <c r="D25" s="107"/>
      <c r="E25" s="107"/>
      <c r="F25" s="107"/>
      <c r="G25" s="107"/>
    </row>
    <row r="26" spans="1:7" ht="15.75" x14ac:dyDescent="0.25">
      <c r="A26" s="270" t="s">
        <v>335</v>
      </c>
      <c r="B26" s="107"/>
      <c r="C26" s="107"/>
      <c r="D26" s="107"/>
      <c r="E26" s="107"/>
      <c r="F26" s="107"/>
      <c r="G26" s="107"/>
    </row>
    <row r="27" spans="1:7" ht="15.75" x14ac:dyDescent="0.25">
      <c r="A27" s="270" t="s">
        <v>339</v>
      </c>
      <c r="B27" s="270"/>
      <c r="C27" s="270"/>
      <c r="D27" s="270"/>
      <c r="E27" s="270"/>
      <c r="F27" s="270"/>
      <c r="G27" s="270"/>
    </row>
    <row r="28" spans="1:7" ht="15.75" x14ac:dyDescent="0.25">
      <c r="A28" s="270"/>
      <c r="B28" s="324" t="s">
        <v>337</v>
      </c>
      <c r="C28" s="324"/>
      <c r="D28" s="271"/>
      <c r="E28" s="324" t="s">
        <v>338</v>
      </c>
      <c r="F28" s="324"/>
      <c r="G28" s="270"/>
    </row>
    <row r="29" spans="1:7" ht="15.75" x14ac:dyDescent="0.25">
      <c r="A29" s="270"/>
      <c r="B29" s="270" t="s">
        <v>317</v>
      </c>
      <c r="C29" s="270" t="s">
        <v>336</v>
      </c>
      <c r="D29" s="270"/>
      <c r="E29" s="270" t="s">
        <v>317</v>
      </c>
      <c r="F29" s="270" t="s">
        <v>336</v>
      </c>
      <c r="G29" s="270"/>
    </row>
    <row r="30" spans="1:7" ht="15.75" x14ac:dyDescent="0.25">
      <c r="A30" s="270" t="s">
        <v>5</v>
      </c>
      <c r="B30" s="271">
        <v>42000000</v>
      </c>
      <c r="C30" s="272">
        <v>1</v>
      </c>
      <c r="D30" s="270"/>
      <c r="E30" s="271">
        <v>41688000</v>
      </c>
      <c r="F30" s="272">
        <v>1</v>
      </c>
      <c r="G30" s="270"/>
    </row>
    <row r="31" spans="1:7" ht="15.75" x14ac:dyDescent="0.25">
      <c r="A31" s="270" t="s">
        <v>6</v>
      </c>
      <c r="B31" s="273">
        <v>23000000</v>
      </c>
      <c r="C31" s="274">
        <v>0.54800000000000004</v>
      </c>
      <c r="D31" s="270"/>
      <c r="E31" s="273">
        <v>23674000</v>
      </c>
      <c r="F31" s="274">
        <v>0.56799999999999995</v>
      </c>
      <c r="G31" s="270"/>
    </row>
    <row r="32" spans="1:7" ht="15.75" x14ac:dyDescent="0.25">
      <c r="A32" s="270" t="s">
        <v>62</v>
      </c>
      <c r="B32" s="273">
        <f>B30-B31</f>
        <v>19000000</v>
      </c>
      <c r="C32" s="274">
        <f>C30-C31</f>
        <v>0.45199999999999996</v>
      </c>
      <c r="D32" s="275"/>
      <c r="E32" s="273">
        <f>E30-E31</f>
        <v>18014000</v>
      </c>
      <c r="F32" s="274">
        <f>F30-F31</f>
        <v>0.43200000000000005</v>
      </c>
      <c r="G32" s="270"/>
    </row>
    <row r="33" spans="1:7" x14ac:dyDescent="0.25">
      <c r="A33" s="107"/>
      <c r="B33" s="107"/>
      <c r="C33" s="107"/>
      <c r="D33" s="107"/>
      <c r="E33" s="107"/>
      <c r="F33" s="107"/>
      <c r="G33" s="107"/>
    </row>
    <row r="34" spans="1:7" x14ac:dyDescent="0.25">
      <c r="A34" s="107"/>
      <c r="B34" s="107"/>
      <c r="C34" s="107"/>
      <c r="D34" s="107"/>
      <c r="E34" s="107"/>
      <c r="F34" s="107"/>
      <c r="G34" s="107"/>
    </row>
  </sheetData>
  <mergeCells count="5">
    <mergeCell ref="B8:C8"/>
    <mergeCell ref="D8:E8"/>
    <mergeCell ref="F8:G8"/>
    <mergeCell ref="B28:C28"/>
    <mergeCell ref="E28:F28"/>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50"/>
  <sheetViews>
    <sheetView workbookViewId="0"/>
  </sheetViews>
  <sheetFormatPr baseColWidth="10" defaultRowHeight="15" x14ac:dyDescent="0.25"/>
  <cols>
    <col min="1" max="1" width="24.140625" bestFit="1" customWidth="1"/>
    <col min="3" max="3" width="75.42578125" bestFit="1" customWidth="1"/>
  </cols>
  <sheetData>
    <row r="5" spans="1:3" ht="18.75" x14ac:dyDescent="0.3">
      <c r="A5" s="278" t="s">
        <v>345</v>
      </c>
    </row>
    <row r="6" spans="1:3" x14ac:dyDescent="0.25">
      <c r="A6" t="s">
        <v>60</v>
      </c>
    </row>
    <row r="7" spans="1:3" x14ac:dyDescent="0.25">
      <c r="A7" t="s">
        <v>34</v>
      </c>
      <c r="B7" s="1">
        <v>0.25</v>
      </c>
    </row>
    <row r="8" spans="1:3" x14ac:dyDescent="0.25">
      <c r="A8" t="s">
        <v>57</v>
      </c>
      <c r="B8" s="2">
        <v>50000</v>
      </c>
    </row>
    <row r="10" spans="1:3" x14ac:dyDescent="0.25">
      <c r="A10" t="s">
        <v>58</v>
      </c>
      <c r="B10">
        <f>B8/(1+B7)</f>
        <v>40000</v>
      </c>
      <c r="C10" t="s">
        <v>59</v>
      </c>
    </row>
    <row r="12" spans="1:3" x14ac:dyDescent="0.25">
      <c r="A12" t="s">
        <v>61</v>
      </c>
    </row>
    <row r="13" spans="1:3" x14ac:dyDescent="0.25">
      <c r="A13" t="s">
        <v>58</v>
      </c>
      <c r="B13" s="2">
        <v>300000</v>
      </c>
    </row>
    <row r="14" spans="1:3" x14ac:dyDescent="0.25">
      <c r="A14" t="s">
        <v>62</v>
      </c>
      <c r="B14" s="1">
        <v>0.5</v>
      </c>
      <c r="C14" t="s">
        <v>65</v>
      </c>
    </row>
    <row r="16" spans="1:3" x14ac:dyDescent="0.25">
      <c r="A16" t="s">
        <v>63</v>
      </c>
      <c r="B16" s="1">
        <v>0.5</v>
      </c>
      <c r="C16" t="s">
        <v>64</v>
      </c>
    </row>
    <row r="17" spans="1:3" ht="15.75" thickBot="1" x14ac:dyDescent="0.3">
      <c r="A17" t="s">
        <v>63</v>
      </c>
      <c r="B17" s="19">
        <f>B13*B16</f>
        <v>150000</v>
      </c>
    </row>
    <row r="18" spans="1:3" ht="15.75" thickTop="1" x14ac:dyDescent="0.25"/>
    <row r="19" spans="1:3" x14ac:dyDescent="0.25">
      <c r="A19" t="s">
        <v>66</v>
      </c>
    </row>
    <row r="20" spans="1:3" x14ac:dyDescent="0.25">
      <c r="A20" t="s">
        <v>69</v>
      </c>
      <c r="B20" s="1">
        <v>0.5</v>
      </c>
      <c r="C20" t="s">
        <v>67</v>
      </c>
    </row>
    <row r="21" spans="1:3" x14ac:dyDescent="0.25">
      <c r="A21" t="s">
        <v>58</v>
      </c>
      <c r="B21" s="2">
        <v>300000</v>
      </c>
    </row>
    <row r="23" spans="1:3" ht="15.75" thickBot="1" x14ac:dyDescent="0.3">
      <c r="A23" t="s">
        <v>63</v>
      </c>
      <c r="B23" s="19">
        <f>B21/(1+B20)</f>
        <v>200000</v>
      </c>
      <c r="C23" t="s">
        <v>87</v>
      </c>
    </row>
    <row r="24" spans="1:3" ht="15.75" thickTop="1" x14ac:dyDescent="0.25"/>
    <row r="25" spans="1:3" x14ac:dyDescent="0.25">
      <c r="A25" t="s">
        <v>68</v>
      </c>
    </row>
    <row r="26" spans="1:3" x14ac:dyDescent="0.25">
      <c r="A26" t="s">
        <v>34</v>
      </c>
      <c r="B26" s="1">
        <v>0.25</v>
      </c>
    </row>
    <row r="27" spans="1:3" x14ac:dyDescent="0.25">
      <c r="A27" t="s">
        <v>69</v>
      </c>
      <c r="B27" s="1">
        <v>1</v>
      </c>
    </row>
    <row r="28" spans="1:3" x14ac:dyDescent="0.25">
      <c r="A28" t="s">
        <v>57</v>
      </c>
      <c r="B28" s="2">
        <v>375000</v>
      </c>
    </row>
    <row r="30" spans="1:3" x14ac:dyDescent="0.25">
      <c r="A30" t="s">
        <v>70</v>
      </c>
      <c r="B30" s="2">
        <f>B28/(1+B26)</f>
        <v>300000</v>
      </c>
    </row>
    <row r="31" spans="1:3" ht="15.75" thickBot="1" x14ac:dyDescent="0.3">
      <c r="A31" t="s">
        <v>6</v>
      </c>
      <c r="B31" s="19">
        <f>B30/(1+B27)</f>
        <v>150000</v>
      </c>
      <c r="C31" t="s">
        <v>88</v>
      </c>
    </row>
    <row r="32" spans="1:3" ht="15.75" thickTop="1" x14ac:dyDescent="0.25"/>
    <row r="33" spans="1:2" x14ac:dyDescent="0.25">
      <c r="A33" t="s">
        <v>71</v>
      </c>
    </row>
    <row r="34" spans="1:2" x14ac:dyDescent="0.25">
      <c r="A34" t="s">
        <v>6</v>
      </c>
      <c r="B34" s="2">
        <v>100000</v>
      </c>
    </row>
    <row r="35" spans="1:2" x14ac:dyDescent="0.25">
      <c r="A35" t="s">
        <v>72</v>
      </c>
      <c r="B35" s="3">
        <v>20000</v>
      </c>
    </row>
    <row r="36" spans="1:2" ht="15.75" thickBot="1" x14ac:dyDescent="0.3">
      <c r="A36" t="s">
        <v>73</v>
      </c>
      <c r="B36" s="19">
        <v>120000</v>
      </c>
    </row>
    <row r="37" spans="1:2" ht="15.75" thickTop="1" x14ac:dyDescent="0.25"/>
    <row r="38" spans="1:2" x14ac:dyDescent="0.25">
      <c r="A38" t="s">
        <v>74</v>
      </c>
    </row>
    <row r="39" spans="1:2" x14ac:dyDescent="0.25">
      <c r="A39" t="s">
        <v>6</v>
      </c>
      <c r="B39" s="2">
        <v>90000</v>
      </c>
    </row>
    <row r="40" spans="1:2" x14ac:dyDescent="0.25">
      <c r="A40" s="277" t="s">
        <v>344</v>
      </c>
      <c r="B40" s="3">
        <f>-10000</f>
        <v>-10000</v>
      </c>
    </row>
    <row r="41" spans="1:2" x14ac:dyDescent="0.25">
      <c r="A41" t="s">
        <v>75</v>
      </c>
      <c r="B41" s="2">
        <f>B39+B40</f>
        <v>80000</v>
      </c>
    </row>
    <row r="42" spans="1:2" x14ac:dyDescent="0.25">
      <c r="A42" t="s">
        <v>76</v>
      </c>
      <c r="B42" s="3">
        <f>B41*0.25</f>
        <v>20000</v>
      </c>
    </row>
    <row r="43" spans="1:2" ht="15.75" thickBot="1" x14ac:dyDescent="0.3">
      <c r="A43" t="s">
        <v>77</v>
      </c>
      <c r="B43" s="4">
        <f>B41+B42</f>
        <v>100000</v>
      </c>
    </row>
    <row r="44" spans="1:2" ht="15.75" thickTop="1" x14ac:dyDescent="0.25"/>
    <row r="45" spans="1:2" x14ac:dyDescent="0.25">
      <c r="A45" t="s">
        <v>78</v>
      </c>
    </row>
    <row r="46" spans="1:2" x14ac:dyDescent="0.25">
      <c r="A46" s="277" t="s">
        <v>343</v>
      </c>
      <c r="B46" s="2">
        <v>100000</v>
      </c>
    </row>
    <row r="47" spans="1:2" x14ac:dyDescent="0.25">
      <c r="A47" t="s">
        <v>79</v>
      </c>
      <c r="B47" s="2">
        <v>400000</v>
      </c>
    </row>
    <row r="48" spans="1:2" x14ac:dyDescent="0.25">
      <c r="A48" s="277" t="s">
        <v>342</v>
      </c>
      <c r="B48" s="3">
        <v>-80000</v>
      </c>
    </row>
    <row r="49" spans="1:3" ht="15.75" thickBot="1" x14ac:dyDescent="0.3">
      <c r="A49" t="s">
        <v>80</v>
      </c>
      <c r="B49" s="4">
        <f>B46+B47+B48</f>
        <v>420000</v>
      </c>
      <c r="C49" t="s">
        <v>81</v>
      </c>
    </row>
    <row r="50" spans="1:3" ht="15.75" thickTop="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24"/>
  <sheetViews>
    <sheetView workbookViewId="0">
      <selection activeCell="C10" sqref="C10"/>
    </sheetView>
  </sheetViews>
  <sheetFormatPr baseColWidth="10" defaultRowHeight="15" x14ac:dyDescent="0.25"/>
  <cols>
    <col min="1" max="1" width="22.5703125" customWidth="1"/>
    <col min="4" max="4" width="21.7109375" customWidth="1"/>
    <col min="5" max="8" width="11.42578125" style="5"/>
  </cols>
  <sheetData>
    <row r="5" spans="1:8" ht="18.75" x14ac:dyDescent="0.3">
      <c r="A5" s="278" t="s">
        <v>347</v>
      </c>
    </row>
    <row r="6" spans="1:8" x14ac:dyDescent="0.25">
      <c r="A6" s="20"/>
    </row>
    <row r="7" spans="1:8" x14ac:dyDescent="0.25">
      <c r="A7" t="s">
        <v>346</v>
      </c>
    </row>
    <row r="8" spans="1:8" x14ac:dyDescent="0.25">
      <c r="A8" t="s">
        <v>89</v>
      </c>
      <c r="B8">
        <v>300</v>
      </c>
      <c r="D8" s="20" t="s">
        <v>83</v>
      </c>
    </row>
    <row r="9" spans="1:8" x14ac:dyDescent="0.25">
      <c r="A9" t="s">
        <v>90</v>
      </c>
      <c r="B9">
        <f>B8/1.25</f>
        <v>240</v>
      </c>
      <c r="E9" s="5" t="s">
        <v>12</v>
      </c>
      <c r="F9" s="5" t="s">
        <v>13</v>
      </c>
      <c r="G9" s="5" t="s">
        <v>14</v>
      </c>
      <c r="H9" s="5" t="s">
        <v>15</v>
      </c>
    </row>
    <row r="10" spans="1:8" x14ac:dyDescent="0.25">
      <c r="D10" t="s">
        <v>10</v>
      </c>
      <c r="E10" s="5">
        <v>240</v>
      </c>
      <c r="F10" s="5">
        <v>180</v>
      </c>
      <c r="G10" s="5">
        <f>E10-F10</f>
        <v>60</v>
      </c>
      <c r="H10" s="7">
        <f>G10/E10</f>
        <v>0.25</v>
      </c>
    </row>
    <row r="11" spans="1:8" x14ac:dyDescent="0.25">
      <c r="A11" s="22" t="s">
        <v>0</v>
      </c>
      <c r="D11" t="s">
        <v>11</v>
      </c>
      <c r="E11" s="5">
        <v>1000</v>
      </c>
      <c r="F11" s="21">
        <v>333</v>
      </c>
      <c r="G11" s="21">
        <f>E11-F11</f>
        <v>667</v>
      </c>
      <c r="H11" s="7">
        <f>G11/E11</f>
        <v>0.66700000000000004</v>
      </c>
    </row>
    <row r="12" spans="1:8" x14ac:dyDescent="0.25">
      <c r="A12" t="s">
        <v>1</v>
      </c>
      <c r="B12">
        <v>150</v>
      </c>
      <c r="D12" t="s">
        <v>17</v>
      </c>
      <c r="E12" s="5">
        <v>150</v>
      </c>
      <c r="F12" s="5">
        <v>210</v>
      </c>
      <c r="G12" s="5">
        <f>F12-E12</f>
        <v>60</v>
      </c>
      <c r="H12" s="7">
        <f>G12/E12</f>
        <v>0.4</v>
      </c>
    </row>
    <row r="13" spans="1:8" x14ac:dyDescent="0.25">
      <c r="A13" t="s">
        <v>16</v>
      </c>
      <c r="B13">
        <v>240</v>
      </c>
    </row>
    <row r="14" spans="1:8" x14ac:dyDescent="0.25">
      <c r="A14" t="s">
        <v>2</v>
      </c>
      <c r="B14">
        <v>1000</v>
      </c>
      <c r="D14" t="s">
        <v>84</v>
      </c>
    </row>
    <row r="15" spans="1:8" x14ac:dyDescent="0.25">
      <c r="A15" t="s">
        <v>3</v>
      </c>
      <c r="B15" s="2">
        <v>30000</v>
      </c>
    </row>
    <row r="16" spans="1:8" x14ac:dyDescent="0.25">
      <c r="B16" s="2"/>
      <c r="H16" s="7"/>
    </row>
    <row r="17" spans="1:2" ht="15" customHeight="1" x14ac:dyDescent="0.25">
      <c r="A17" t="s">
        <v>82</v>
      </c>
    </row>
    <row r="18" spans="1:2" x14ac:dyDescent="0.25">
      <c r="A18" s="20" t="s">
        <v>4</v>
      </c>
    </row>
    <row r="19" spans="1:2" x14ac:dyDescent="0.25">
      <c r="A19" t="s">
        <v>5</v>
      </c>
      <c r="B19" s="2">
        <f>B13*B14</f>
        <v>240000</v>
      </c>
    </row>
    <row r="20" spans="1:2" x14ac:dyDescent="0.25">
      <c r="A20" t="s">
        <v>6</v>
      </c>
      <c r="B20" s="3">
        <f>B12*B14</f>
        <v>150000</v>
      </c>
    </row>
    <row r="21" spans="1:2" x14ac:dyDescent="0.25">
      <c r="A21" t="s">
        <v>7</v>
      </c>
      <c r="B21" s="2">
        <f>B19-B20</f>
        <v>90000</v>
      </c>
    </row>
    <row r="22" spans="1:2" x14ac:dyDescent="0.25">
      <c r="A22" t="s">
        <v>8</v>
      </c>
      <c r="B22" s="3">
        <f>B15</f>
        <v>30000</v>
      </c>
    </row>
    <row r="23" spans="1:2" ht="15.75" thickBot="1" x14ac:dyDescent="0.3">
      <c r="A23" t="s">
        <v>9</v>
      </c>
      <c r="B23" s="4">
        <f>B21-B22</f>
        <v>60000</v>
      </c>
    </row>
    <row r="24" spans="1:2" ht="15.75" thickTop="1" x14ac:dyDescent="0.25"/>
  </sheetData>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19"/>
  <sheetViews>
    <sheetView workbookViewId="0">
      <selection activeCell="M15" sqref="M15"/>
    </sheetView>
  </sheetViews>
  <sheetFormatPr baseColWidth="10" defaultRowHeight="15" x14ac:dyDescent="0.25"/>
  <cols>
    <col min="1" max="1" width="27.5703125" customWidth="1"/>
    <col min="3" max="3" width="4.42578125" customWidth="1"/>
  </cols>
  <sheetData>
    <row r="5" spans="1:8" ht="18.75" x14ac:dyDescent="0.3">
      <c r="A5" s="278" t="s">
        <v>348</v>
      </c>
    </row>
    <row r="7" spans="1:8" x14ac:dyDescent="0.25">
      <c r="A7" s="22" t="s">
        <v>19</v>
      </c>
    </row>
    <row r="8" spans="1:8" x14ac:dyDescent="0.25">
      <c r="A8" t="s">
        <v>18</v>
      </c>
      <c r="B8" s="2">
        <v>12000</v>
      </c>
      <c r="D8" s="20" t="s">
        <v>86</v>
      </c>
    </row>
    <row r="9" spans="1:8" x14ac:dyDescent="0.25">
      <c r="A9" t="s">
        <v>20</v>
      </c>
      <c r="B9" s="2">
        <v>8500</v>
      </c>
    </row>
    <row r="10" spans="1:8" x14ac:dyDescent="0.25">
      <c r="A10" t="s">
        <v>2</v>
      </c>
      <c r="B10" s="2">
        <v>120</v>
      </c>
      <c r="E10" t="s">
        <v>23</v>
      </c>
      <c r="F10" t="s">
        <v>13</v>
      </c>
      <c r="G10" t="s">
        <v>14</v>
      </c>
      <c r="H10" t="s">
        <v>15</v>
      </c>
    </row>
    <row r="11" spans="1:8" x14ac:dyDescent="0.25">
      <c r="A11" t="s">
        <v>21</v>
      </c>
      <c r="B11" s="2">
        <v>258000</v>
      </c>
      <c r="D11" t="s">
        <v>24</v>
      </c>
      <c r="E11">
        <v>12000</v>
      </c>
      <c r="F11">
        <v>10650</v>
      </c>
      <c r="G11">
        <f>E11-F11</f>
        <v>1350</v>
      </c>
      <c r="H11" s="6">
        <f>G11/E11</f>
        <v>0.1125</v>
      </c>
    </row>
    <row r="12" spans="1:8" x14ac:dyDescent="0.25">
      <c r="B12" s="2"/>
      <c r="D12" t="s">
        <v>25</v>
      </c>
      <c r="E12">
        <v>8500</v>
      </c>
      <c r="F12">
        <v>9850</v>
      </c>
      <c r="G12">
        <f>F12-E12</f>
        <v>1350</v>
      </c>
      <c r="H12" s="6">
        <f t="shared" ref="H12:H13" si="0">G12/E12</f>
        <v>0.1588235294117647</v>
      </c>
    </row>
    <row r="13" spans="1:8" x14ac:dyDescent="0.25">
      <c r="A13" s="20" t="s">
        <v>85</v>
      </c>
      <c r="B13" s="2"/>
      <c r="D13" t="s">
        <v>11</v>
      </c>
      <c r="E13">
        <v>120</v>
      </c>
      <c r="F13">
        <v>74</v>
      </c>
      <c r="G13">
        <f>E13-F13</f>
        <v>46</v>
      </c>
      <c r="H13" s="6">
        <f t="shared" si="0"/>
        <v>0.38333333333333336</v>
      </c>
    </row>
    <row r="14" spans="1:8" x14ac:dyDescent="0.25">
      <c r="A14" t="s">
        <v>5</v>
      </c>
      <c r="B14" s="2">
        <f>B8*B10</f>
        <v>1440000</v>
      </c>
    </row>
    <row r="15" spans="1:8" x14ac:dyDescent="0.25">
      <c r="A15" t="s">
        <v>22</v>
      </c>
      <c r="B15" s="3">
        <f>B9*B10</f>
        <v>1020000</v>
      </c>
      <c r="D15" s="277" t="s">
        <v>349</v>
      </c>
    </row>
    <row r="16" spans="1:8" x14ac:dyDescent="0.25">
      <c r="A16" t="s">
        <v>7</v>
      </c>
      <c r="B16" s="2">
        <f>B14-B15</f>
        <v>420000</v>
      </c>
    </row>
    <row r="17" spans="1:2" x14ac:dyDescent="0.25">
      <c r="A17" t="s">
        <v>3</v>
      </c>
      <c r="B17" s="3">
        <f>B11</f>
        <v>258000</v>
      </c>
    </row>
    <row r="18" spans="1:2" ht="15.75" thickBot="1" x14ac:dyDescent="0.3">
      <c r="A18" t="s">
        <v>9</v>
      </c>
      <c r="B18" s="4">
        <f>B16-B17</f>
        <v>162000</v>
      </c>
    </row>
    <row r="19" spans="1:2" ht="15.75" thickTop="1" x14ac:dyDescent="0.2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25"/>
  <sheetViews>
    <sheetView workbookViewId="0">
      <selection activeCell="I10" sqref="I10"/>
    </sheetView>
  </sheetViews>
  <sheetFormatPr baseColWidth="10" defaultRowHeight="15" x14ac:dyDescent="0.25"/>
  <cols>
    <col min="1" max="1" width="27.85546875" bestFit="1" customWidth="1"/>
    <col min="2" max="6" width="12.7109375" customWidth="1"/>
  </cols>
  <sheetData>
    <row r="5" spans="1:8" ht="18.75" x14ac:dyDescent="0.3">
      <c r="A5" s="278" t="s">
        <v>352</v>
      </c>
    </row>
    <row r="6" spans="1:8" ht="15.75" x14ac:dyDescent="0.25">
      <c r="A6" s="53"/>
    </row>
    <row r="7" spans="1:8" ht="15.75" x14ac:dyDescent="0.25">
      <c r="A7" s="51" t="s">
        <v>351</v>
      </c>
    </row>
    <row r="8" spans="1:8" ht="15.75" x14ac:dyDescent="0.25">
      <c r="A8" s="25"/>
      <c r="B8" s="307" t="s">
        <v>91</v>
      </c>
      <c r="C8" s="308"/>
      <c r="D8" s="48" t="s">
        <v>92</v>
      </c>
      <c r="E8" s="308" t="s">
        <v>93</v>
      </c>
      <c r="F8" s="309"/>
    </row>
    <row r="9" spans="1:8" ht="15.75" x14ac:dyDescent="0.25">
      <c r="A9" s="26"/>
      <c r="B9" s="49" t="s">
        <v>94</v>
      </c>
      <c r="C9" s="49" t="s">
        <v>95</v>
      </c>
      <c r="D9" s="49" t="s">
        <v>96</v>
      </c>
      <c r="E9" s="49" t="s">
        <v>94</v>
      </c>
      <c r="F9" s="49" t="s">
        <v>95</v>
      </c>
    </row>
    <row r="10" spans="1:8" ht="15.75" x14ac:dyDescent="0.25">
      <c r="A10" s="26"/>
      <c r="B10" s="50">
        <v>2013</v>
      </c>
      <c r="C10" s="50" t="s">
        <v>97</v>
      </c>
      <c r="D10" s="50" t="s">
        <v>98</v>
      </c>
      <c r="E10" s="50">
        <v>2014</v>
      </c>
      <c r="F10" s="50" t="s">
        <v>97</v>
      </c>
    </row>
    <row r="11" spans="1:8" ht="15.75" x14ac:dyDescent="0.25">
      <c r="A11" s="27" t="s">
        <v>5</v>
      </c>
      <c r="B11" s="28">
        <v>11150000</v>
      </c>
      <c r="C11" s="29">
        <f>B11/$B$11</f>
        <v>1</v>
      </c>
      <c r="D11" s="30">
        <v>0.1</v>
      </c>
      <c r="E11" s="28">
        <f>B11*(1+D11)</f>
        <v>12265000.000000002</v>
      </c>
      <c r="F11" s="31">
        <f>E11/$E$11</f>
        <v>1</v>
      </c>
    </row>
    <row r="12" spans="1:8" ht="15.75" x14ac:dyDescent="0.25">
      <c r="A12" s="32" t="s">
        <v>99</v>
      </c>
      <c r="B12" s="33">
        <v>6840000</v>
      </c>
      <c r="C12" s="35">
        <f t="shared" ref="C12:C24" si="0">B12/$B$11</f>
        <v>0.61345291479820629</v>
      </c>
      <c r="D12" s="33">
        <f>E12-B12</f>
        <v>678445</v>
      </c>
      <c r="E12" s="33">
        <v>7518445</v>
      </c>
      <c r="F12" s="36">
        <f t="shared" ref="F12:F24" si="1">E12/$E$11</f>
        <v>0.61299999999999988</v>
      </c>
    </row>
    <row r="13" spans="1:8" ht="15.75" x14ac:dyDescent="0.25">
      <c r="A13" s="27" t="s">
        <v>100</v>
      </c>
      <c r="B13" s="34">
        <f>B11-B12</f>
        <v>4310000</v>
      </c>
      <c r="C13" s="35">
        <f t="shared" si="0"/>
        <v>0.38654708520179371</v>
      </c>
      <c r="D13" s="34">
        <f>E13-B13</f>
        <v>436555.00000000186</v>
      </c>
      <c r="E13" s="34">
        <f>E11-E12</f>
        <v>4746555.0000000019</v>
      </c>
      <c r="F13" s="36">
        <f t="shared" si="1"/>
        <v>0.38700000000000007</v>
      </c>
    </row>
    <row r="14" spans="1:8" ht="15.75" x14ac:dyDescent="0.25">
      <c r="A14" s="37" t="s">
        <v>108</v>
      </c>
      <c r="B14" s="28"/>
      <c r="C14" s="29"/>
      <c r="D14" s="28"/>
      <c r="E14" s="28"/>
      <c r="F14" s="31"/>
    </row>
    <row r="15" spans="1:8" ht="15.75" x14ac:dyDescent="0.25">
      <c r="A15" s="32" t="s">
        <v>102</v>
      </c>
      <c r="B15" s="28">
        <v>1980000</v>
      </c>
      <c r="C15" s="29">
        <f t="shared" si="0"/>
        <v>0.17757847533632287</v>
      </c>
      <c r="D15" s="30">
        <v>-0.04</v>
      </c>
      <c r="E15" s="28">
        <f>B15*(1+D15)</f>
        <v>1900800</v>
      </c>
      <c r="F15" s="31">
        <f t="shared" si="1"/>
        <v>0.1549775784753363</v>
      </c>
    </row>
    <row r="16" spans="1:8" ht="15.75" x14ac:dyDescent="0.25">
      <c r="A16" s="27" t="s">
        <v>29</v>
      </c>
      <c r="B16" s="28">
        <v>320000</v>
      </c>
      <c r="C16" s="29">
        <f t="shared" si="0"/>
        <v>2.8699551569506727E-2</v>
      </c>
      <c r="D16" s="30">
        <v>0</v>
      </c>
      <c r="E16" s="28">
        <f>B16*(1+D16)</f>
        <v>320000</v>
      </c>
      <c r="F16" s="31">
        <f t="shared" si="1"/>
        <v>2.6090501426824293E-2</v>
      </c>
      <c r="H16" s="2"/>
    </row>
    <row r="17" spans="1:6" ht="15.75" x14ac:dyDescent="0.25">
      <c r="A17" s="27" t="s">
        <v>40</v>
      </c>
      <c r="B17" s="28">
        <v>640000</v>
      </c>
      <c r="C17" s="29">
        <f t="shared" si="0"/>
        <v>5.7399103139013453E-2</v>
      </c>
      <c r="D17" s="30">
        <v>0.05</v>
      </c>
      <c r="E17" s="28">
        <f t="shared" ref="E17" si="2">B17*(1+D17)</f>
        <v>672000</v>
      </c>
      <c r="F17" s="31">
        <f t="shared" si="1"/>
        <v>5.4790052996331016E-2</v>
      </c>
    </row>
    <row r="18" spans="1:6" ht="15.75" x14ac:dyDescent="0.25">
      <c r="A18" s="32" t="s">
        <v>350</v>
      </c>
      <c r="B18" s="28">
        <v>154000</v>
      </c>
      <c r="C18" s="29">
        <f t="shared" si="0"/>
        <v>1.3811659192825112E-2</v>
      </c>
      <c r="D18" s="30">
        <v>1</v>
      </c>
      <c r="E18" s="28">
        <f>B18*(1+D18)</f>
        <v>308000</v>
      </c>
      <c r="F18" s="31">
        <f t="shared" si="1"/>
        <v>2.5112107623318381E-2</v>
      </c>
    </row>
    <row r="19" spans="1:6" ht="15.75" x14ac:dyDescent="0.25">
      <c r="A19" s="27" t="s">
        <v>105</v>
      </c>
      <c r="B19" s="33">
        <v>1100000</v>
      </c>
      <c r="C19" s="35">
        <f t="shared" si="0"/>
        <v>9.8654708520179366E-2</v>
      </c>
      <c r="D19" s="36">
        <v>1.4999999999999999E-2</v>
      </c>
      <c r="E19" s="33">
        <f>B19*(1+D19)</f>
        <v>1116500</v>
      </c>
      <c r="F19" s="36">
        <f t="shared" si="1"/>
        <v>9.1031390134529128E-2</v>
      </c>
    </row>
    <row r="20" spans="1:6" ht="15.75" x14ac:dyDescent="0.25">
      <c r="A20" s="38" t="s">
        <v>109</v>
      </c>
      <c r="B20" s="34">
        <f>SUM(B15:B19)</f>
        <v>4194000</v>
      </c>
      <c r="C20" s="35">
        <f t="shared" si="0"/>
        <v>0.37614349775784756</v>
      </c>
      <c r="D20" s="36">
        <v>1.4999999999999999E-2</v>
      </c>
      <c r="E20" s="34">
        <f t="shared" ref="E20" si="3">SUM(E15:E19)</f>
        <v>4317300</v>
      </c>
      <c r="F20" s="36">
        <f t="shared" si="1"/>
        <v>0.3520016306563391</v>
      </c>
    </row>
    <row r="21" spans="1:6" ht="15.75" x14ac:dyDescent="0.25">
      <c r="A21" s="38" t="s">
        <v>106</v>
      </c>
      <c r="B21" s="34">
        <f>B13-B20</f>
        <v>116000</v>
      </c>
      <c r="C21" s="39">
        <f t="shared" si="0"/>
        <v>1.0403587443946188E-2</v>
      </c>
      <c r="D21" s="40"/>
      <c r="E21" s="34">
        <f>E13-E20</f>
        <v>429255.00000000186</v>
      </c>
      <c r="F21" s="40">
        <f t="shared" si="1"/>
        <v>3.4998369343660969E-2</v>
      </c>
    </row>
    <row r="22" spans="1:6" ht="15.75" x14ac:dyDescent="0.25">
      <c r="A22" s="38" t="s">
        <v>107</v>
      </c>
      <c r="B22" s="28">
        <v>4000</v>
      </c>
      <c r="C22" s="29">
        <f t="shared" si="0"/>
        <v>3.5874439461883406E-4</v>
      </c>
      <c r="D22" s="28">
        <v>0</v>
      </c>
      <c r="E22" s="28">
        <v>4000</v>
      </c>
      <c r="F22" s="31">
        <f t="shared" si="1"/>
        <v>3.2613126783530364E-4</v>
      </c>
    </row>
    <row r="23" spans="1:6" ht="15.75" x14ac:dyDescent="0.25">
      <c r="A23" s="27" t="s">
        <v>104</v>
      </c>
      <c r="B23" s="41">
        <v>98000</v>
      </c>
      <c r="C23" s="42">
        <f t="shared" si="0"/>
        <v>8.7892376681614343E-3</v>
      </c>
      <c r="D23" s="43">
        <v>-8000</v>
      </c>
      <c r="E23" s="41">
        <f>B23+D23</f>
        <v>90000</v>
      </c>
      <c r="F23" s="44">
        <f t="shared" si="1"/>
        <v>7.3379535262943323E-3</v>
      </c>
    </row>
    <row r="24" spans="1:6" ht="16.5" thickBot="1" x14ac:dyDescent="0.3">
      <c r="A24" s="27" t="s">
        <v>110</v>
      </c>
      <c r="B24" s="45">
        <f>B21+B22-B23</f>
        <v>22000</v>
      </c>
      <c r="C24" s="46">
        <f t="shared" si="0"/>
        <v>1.9730941704035874E-3</v>
      </c>
      <c r="D24" s="45"/>
      <c r="E24" s="45">
        <f>E21+E22-E23</f>
        <v>343255.00000000186</v>
      </c>
      <c r="F24" s="47">
        <f t="shared" si="1"/>
        <v>2.798654708520194E-2</v>
      </c>
    </row>
    <row r="25" spans="1:6" ht="15.75" thickTop="1" x14ac:dyDescent="0.25">
      <c r="B25" s="13"/>
      <c r="C25" s="23"/>
      <c r="D25" s="10"/>
      <c r="E25" s="13"/>
      <c r="F25" s="24"/>
    </row>
  </sheetData>
  <mergeCells count="2">
    <mergeCell ref="B8:C8"/>
    <mergeCell ref="E8:F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66"/>
  <sheetViews>
    <sheetView workbookViewId="0">
      <selection activeCell="A11" sqref="A11"/>
    </sheetView>
  </sheetViews>
  <sheetFormatPr baseColWidth="10" defaultRowHeight="15" x14ac:dyDescent="0.25"/>
  <cols>
    <col min="1" max="1" width="28.5703125" bestFit="1" customWidth="1"/>
    <col min="2" max="6" width="12.7109375" customWidth="1"/>
  </cols>
  <sheetData>
    <row r="5" spans="1:6" ht="18.75" x14ac:dyDescent="0.3">
      <c r="A5" s="278" t="s">
        <v>354</v>
      </c>
    </row>
    <row r="6" spans="1:6" x14ac:dyDescent="0.25">
      <c r="A6" s="20"/>
    </row>
    <row r="7" spans="1:6" x14ac:dyDescent="0.25">
      <c r="A7" t="s">
        <v>353</v>
      </c>
    </row>
    <row r="8" spans="1:6" s="51" customFormat="1" ht="15.75" x14ac:dyDescent="0.25">
      <c r="B8" s="307" t="s">
        <v>91</v>
      </c>
      <c r="C8" s="308"/>
      <c r="D8" s="48" t="s">
        <v>92</v>
      </c>
      <c r="E8" s="308" t="s">
        <v>93</v>
      </c>
      <c r="F8" s="309"/>
    </row>
    <row r="9" spans="1:6" ht="15.75" x14ac:dyDescent="0.25">
      <c r="A9" s="26"/>
      <c r="B9" s="279" t="s">
        <v>111</v>
      </c>
      <c r="C9" s="49" t="s">
        <v>95</v>
      </c>
      <c r="D9" s="49" t="s">
        <v>96</v>
      </c>
      <c r="E9" s="49" t="s">
        <v>111</v>
      </c>
      <c r="F9" s="49" t="s">
        <v>95</v>
      </c>
    </row>
    <row r="10" spans="1:6" ht="15.75" x14ac:dyDescent="0.25">
      <c r="A10" s="26"/>
      <c r="B10" s="50">
        <v>2010</v>
      </c>
      <c r="C10" s="50" t="s">
        <v>97</v>
      </c>
      <c r="D10" s="50" t="s">
        <v>98</v>
      </c>
      <c r="E10" s="50">
        <v>2011</v>
      </c>
      <c r="F10" s="50" t="s">
        <v>97</v>
      </c>
    </row>
    <row r="11" spans="1:6" ht="15.75" x14ac:dyDescent="0.25">
      <c r="A11" s="27" t="s">
        <v>5</v>
      </c>
      <c r="B11" s="28">
        <v>2660200</v>
      </c>
      <c r="C11" s="29">
        <f>B11/$B$11</f>
        <v>1</v>
      </c>
      <c r="D11" s="30">
        <v>0.2</v>
      </c>
      <c r="E11" s="28">
        <f>B11*(1+D11)</f>
        <v>3192240</v>
      </c>
      <c r="F11" s="31">
        <f>E11/$E$11</f>
        <v>1</v>
      </c>
    </row>
    <row r="12" spans="1:6" ht="15.75" x14ac:dyDescent="0.25">
      <c r="A12" s="32" t="s">
        <v>99</v>
      </c>
      <c r="B12" s="33">
        <v>1457600</v>
      </c>
      <c r="C12" s="35">
        <f t="shared" ref="C12:C21" si="0">B12/$B$11</f>
        <v>0.54792872716337115</v>
      </c>
      <c r="D12" s="33"/>
      <c r="E12" s="33">
        <f>E11*0.6</f>
        <v>1915344</v>
      </c>
      <c r="F12" s="36">
        <f t="shared" ref="F12:F21" si="1">E12/$E$11</f>
        <v>0.6</v>
      </c>
    </row>
    <row r="13" spans="1:6" ht="15.75" x14ac:dyDescent="0.25">
      <c r="A13" s="27" t="s">
        <v>62</v>
      </c>
      <c r="B13" s="34">
        <f>B11-B12</f>
        <v>1202600</v>
      </c>
      <c r="C13" s="39">
        <f t="shared" si="0"/>
        <v>0.45207127283662885</v>
      </c>
      <c r="D13" s="34"/>
      <c r="E13" s="34">
        <f>E11-E12</f>
        <v>1276896</v>
      </c>
      <c r="F13" s="40">
        <f t="shared" si="1"/>
        <v>0.4</v>
      </c>
    </row>
    <row r="14" spans="1:6" ht="15.75" x14ac:dyDescent="0.25">
      <c r="A14" s="52" t="s">
        <v>108</v>
      </c>
      <c r="B14" s="28"/>
      <c r="C14" s="29"/>
      <c r="D14" s="28"/>
      <c r="E14" s="28"/>
      <c r="F14" s="31"/>
    </row>
    <row r="15" spans="1:6" ht="15.75" x14ac:dyDescent="0.25">
      <c r="A15" s="32" t="s">
        <v>38</v>
      </c>
      <c r="B15" s="28">
        <v>700300</v>
      </c>
      <c r="C15" s="29">
        <f t="shared" si="0"/>
        <v>0.26325088339222613</v>
      </c>
      <c r="D15" s="30">
        <v>0.03</v>
      </c>
      <c r="E15" s="28">
        <f>B15*(1+D15)</f>
        <v>721309</v>
      </c>
      <c r="F15" s="31">
        <f t="shared" si="1"/>
        <v>0.22595700824499412</v>
      </c>
    </row>
    <row r="16" spans="1:6" ht="15.75" x14ac:dyDescent="0.25">
      <c r="A16" s="27" t="s">
        <v>29</v>
      </c>
      <c r="B16" s="28">
        <v>47500</v>
      </c>
      <c r="C16" s="29">
        <f t="shared" si="0"/>
        <v>1.7855800315765731E-2</v>
      </c>
      <c r="D16" s="30">
        <v>0</v>
      </c>
      <c r="E16" s="28">
        <f>B16</f>
        <v>47500</v>
      </c>
      <c r="F16" s="31">
        <f t="shared" si="1"/>
        <v>1.4879833596471444E-2</v>
      </c>
    </row>
    <row r="17" spans="1:6" ht="15.75" x14ac:dyDescent="0.25">
      <c r="A17" s="27" t="s">
        <v>113</v>
      </c>
      <c r="B17" s="28">
        <v>300000</v>
      </c>
      <c r="C17" s="29">
        <f t="shared" si="0"/>
        <v>0.11277347567852042</v>
      </c>
      <c r="D17" s="28">
        <f>1200*6</f>
        <v>7200</v>
      </c>
      <c r="E17" s="28">
        <f>B17+D17</f>
        <v>307200</v>
      </c>
      <c r="F17" s="31">
        <f t="shared" si="1"/>
        <v>9.6233365912337415E-2</v>
      </c>
    </row>
    <row r="18" spans="1:6" ht="15.75" x14ac:dyDescent="0.25">
      <c r="A18" s="27" t="s">
        <v>114</v>
      </c>
      <c r="B18" s="28">
        <v>42000</v>
      </c>
      <c r="C18" s="29">
        <f t="shared" si="0"/>
        <v>1.5788286594992859E-2</v>
      </c>
      <c r="D18" s="30"/>
      <c r="E18" s="28">
        <f>E11*0.03</f>
        <v>95767.2</v>
      </c>
      <c r="F18" s="31">
        <f t="shared" si="1"/>
        <v>0.03</v>
      </c>
    </row>
    <row r="19" spans="1:6" ht="15.75" x14ac:dyDescent="0.25">
      <c r="A19" s="27" t="s">
        <v>41</v>
      </c>
      <c r="B19" s="33">
        <v>24800</v>
      </c>
      <c r="C19" s="35">
        <f t="shared" si="0"/>
        <v>9.322607322757687E-3</v>
      </c>
      <c r="D19" s="33">
        <v>5000</v>
      </c>
      <c r="E19" s="33">
        <f>B19+D19</f>
        <v>29800</v>
      </c>
      <c r="F19" s="36">
        <f t="shared" si="1"/>
        <v>9.3351377089441901E-3</v>
      </c>
    </row>
    <row r="20" spans="1:6" ht="15.75" x14ac:dyDescent="0.25">
      <c r="A20" s="38" t="s">
        <v>109</v>
      </c>
      <c r="B20" s="34">
        <f>SUM(B15:B19)</f>
        <v>1114600</v>
      </c>
      <c r="C20" s="39">
        <f t="shared" si="0"/>
        <v>0.41899105330426284</v>
      </c>
      <c r="D20" s="36"/>
      <c r="E20" s="34">
        <f>SUM(E15:E19)</f>
        <v>1201576.2</v>
      </c>
      <c r="F20" s="40">
        <f t="shared" si="1"/>
        <v>0.37640534546274712</v>
      </c>
    </row>
    <row r="21" spans="1:6" ht="16.5" thickBot="1" x14ac:dyDescent="0.3">
      <c r="A21" s="38" t="s">
        <v>106</v>
      </c>
      <c r="B21" s="54">
        <f>B13-B20</f>
        <v>88000</v>
      </c>
      <c r="C21" s="35">
        <f t="shared" si="0"/>
        <v>3.3080219532365986E-2</v>
      </c>
      <c r="D21" s="40"/>
      <c r="E21" s="54">
        <f>E13-E20</f>
        <v>75319.800000000047</v>
      </c>
      <c r="F21" s="40">
        <f t="shared" si="1"/>
        <v>2.3594654537252853E-2</v>
      </c>
    </row>
    <row r="22" spans="1:6" ht="15.75" thickTop="1" x14ac:dyDescent="0.25"/>
    <row r="23" spans="1:6" ht="15.75" x14ac:dyDescent="0.25">
      <c r="A23" s="38" t="s">
        <v>115</v>
      </c>
    </row>
    <row r="24" spans="1:6" ht="15.75" x14ac:dyDescent="0.25">
      <c r="A24" s="38"/>
    </row>
    <row r="25" spans="1:6" ht="15.75" x14ac:dyDescent="0.25">
      <c r="A25" s="38" t="s">
        <v>116</v>
      </c>
    </row>
    <row r="26" spans="1:6" ht="15.75" x14ac:dyDescent="0.25">
      <c r="A26" s="38" t="s">
        <v>118</v>
      </c>
    </row>
    <row r="27" spans="1:6" ht="15.75" x14ac:dyDescent="0.25">
      <c r="A27" s="38" t="s">
        <v>117</v>
      </c>
    </row>
    <row r="28" spans="1:6" ht="15.75" x14ac:dyDescent="0.25">
      <c r="A28" s="38" t="s">
        <v>119</v>
      </c>
    </row>
    <row r="29" spans="1:6" ht="15.75" x14ac:dyDescent="0.25">
      <c r="A29" s="38" t="s">
        <v>120</v>
      </c>
    </row>
    <row r="30" spans="1:6" ht="15.75" x14ac:dyDescent="0.25">
      <c r="A30" s="38"/>
    </row>
    <row r="31" spans="1:6" ht="15.75" x14ac:dyDescent="0.25">
      <c r="A31" s="38"/>
    </row>
    <row r="32" spans="1:6" ht="15.75" x14ac:dyDescent="0.25">
      <c r="A32" s="26"/>
      <c r="B32" s="49" t="s">
        <v>112</v>
      </c>
      <c r="C32" s="49" t="s">
        <v>95</v>
      </c>
      <c r="D32" s="49" t="s">
        <v>96</v>
      </c>
      <c r="E32" s="49" t="s">
        <v>111</v>
      </c>
      <c r="F32" s="49" t="s">
        <v>95</v>
      </c>
    </row>
    <row r="33" spans="1:6" ht="15.75" x14ac:dyDescent="0.25">
      <c r="A33" s="26"/>
      <c r="B33" s="50">
        <v>2010</v>
      </c>
      <c r="C33" s="50" t="s">
        <v>97</v>
      </c>
      <c r="D33" s="50" t="s">
        <v>98</v>
      </c>
      <c r="E33" s="50">
        <v>2011</v>
      </c>
      <c r="F33" s="50" t="s">
        <v>97</v>
      </c>
    </row>
    <row r="34" spans="1:6" ht="15.75" x14ac:dyDescent="0.25">
      <c r="A34" s="27" t="s">
        <v>5</v>
      </c>
      <c r="B34" s="28">
        <v>2660200</v>
      </c>
      <c r="C34" s="29">
        <f>B34/$B$11</f>
        <v>1</v>
      </c>
      <c r="D34" s="30">
        <v>0.12347679609539636</v>
      </c>
      <c r="E34" s="28">
        <f>B34*(1+D34)</f>
        <v>2988672.9729729737</v>
      </c>
      <c r="F34" s="31">
        <f>E34/$E$11</f>
        <v>0.93623066341283045</v>
      </c>
    </row>
    <row r="35" spans="1:6" ht="15.75" x14ac:dyDescent="0.25">
      <c r="A35" s="32" t="s">
        <v>99</v>
      </c>
      <c r="B35" s="33">
        <v>1457600</v>
      </c>
      <c r="C35" s="35">
        <f t="shared" ref="C35:C44" si="2">B35/$B$11</f>
        <v>0.54792872716337115</v>
      </c>
      <c r="D35" s="33"/>
      <c r="E35" s="33">
        <f>E34*0.6</f>
        <v>1793203.7837837841</v>
      </c>
      <c r="F35" s="36">
        <f t="shared" ref="F35:F44" si="3">E35/$E$11</f>
        <v>0.56173839804769821</v>
      </c>
    </row>
    <row r="36" spans="1:6" ht="15.75" x14ac:dyDescent="0.25">
      <c r="A36" s="27" t="s">
        <v>62</v>
      </c>
      <c r="B36" s="34">
        <f>B34-B35</f>
        <v>1202600</v>
      </c>
      <c r="C36" s="39">
        <f t="shared" si="2"/>
        <v>0.45207127283662885</v>
      </c>
      <c r="D36" s="34"/>
      <c r="E36" s="34">
        <f>E34-E35</f>
        <v>1195469.1891891896</v>
      </c>
      <c r="F36" s="40">
        <f t="shared" si="3"/>
        <v>0.37449226536513219</v>
      </c>
    </row>
    <row r="37" spans="1:6" ht="15.75" x14ac:dyDescent="0.25">
      <c r="A37" s="52" t="s">
        <v>108</v>
      </c>
      <c r="B37" s="28"/>
      <c r="C37" s="29"/>
      <c r="D37" s="28"/>
      <c r="E37" s="28"/>
      <c r="F37" s="31"/>
    </row>
    <row r="38" spans="1:6" ht="15.75" x14ac:dyDescent="0.25">
      <c r="A38" s="32" t="s">
        <v>38</v>
      </c>
      <c r="B38" s="28">
        <v>700300</v>
      </c>
      <c r="C38" s="29">
        <f t="shared" si="2"/>
        <v>0.26325088339222613</v>
      </c>
      <c r="D38" s="30">
        <v>0.03</v>
      </c>
      <c r="E38" s="28">
        <f>B38*(1+D38)</f>
        <v>721309</v>
      </c>
      <c r="F38" s="31">
        <f t="shared" si="3"/>
        <v>0.22595700824499412</v>
      </c>
    </row>
    <row r="39" spans="1:6" ht="15.75" x14ac:dyDescent="0.25">
      <c r="A39" s="27" t="s">
        <v>29</v>
      </c>
      <c r="B39" s="28">
        <v>47500</v>
      </c>
      <c r="C39" s="29">
        <f t="shared" si="2"/>
        <v>1.7855800315765731E-2</v>
      </c>
      <c r="D39" s="30">
        <v>0</v>
      </c>
      <c r="E39" s="28">
        <f>B39</f>
        <v>47500</v>
      </c>
      <c r="F39" s="31">
        <f t="shared" si="3"/>
        <v>1.4879833596471444E-2</v>
      </c>
    </row>
    <row r="40" spans="1:6" ht="15.75" x14ac:dyDescent="0.25">
      <c r="A40" s="27" t="s">
        <v>113</v>
      </c>
      <c r="B40" s="28">
        <v>300000</v>
      </c>
      <c r="C40" s="29">
        <f t="shared" si="2"/>
        <v>0.11277347567852042</v>
      </c>
      <c r="D40" s="28">
        <f>1200*6</f>
        <v>7200</v>
      </c>
      <c r="E40" s="28">
        <f>B40+D40</f>
        <v>307200</v>
      </c>
      <c r="F40" s="31">
        <f t="shared" si="3"/>
        <v>9.6233365912337415E-2</v>
      </c>
    </row>
    <row r="41" spans="1:6" ht="15.75" x14ac:dyDescent="0.25">
      <c r="A41" s="27" t="s">
        <v>114</v>
      </c>
      <c r="B41" s="28">
        <v>42000</v>
      </c>
      <c r="C41" s="29">
        <f t="shared" si="2"/>
        <v>1.5788286594992859E-2</v>
      </c>
      <c r="D41" s="30"/>
      <c r="E41" s="28">
        <f>E34*0.03</f>
        <v>89660.189189189201</v>
      </c>
      <c r="F41" s="31">
        <f t="shared" si="3"/>
        <v>2.8086919902384908E-2</v>
      </c>
    </row>
    <row r="42" spans="1:6" ht="15.75" x14ac:dyDescent="0.25">
      <c r="A42" s="27" t="s">
        <v>41</v>
      </c>
      <c r="B42" s="33">
        <v>24800</v>
      </c>
      <c r="C42" s="35">
        <f t="shared" si="2"/>
        <v>9.322607322757687E-3</v>
      </c>
      <c r="D42" s="33">
        <v>5000</v>
      </c>
      <c r="E42" s="33">
        <f>B42+D42</f>
        <v>29800</v>
      </c>
      <c r="F42" s="36">
        <f t="shared" si="3"/>
        <v>9.3351377089441901E-3</v>
      </c>
    </row>
    <row r="43" spans="1:6" ht="15.75" x14ac:dyDescent="0.25">
      <c r="A43" s="38" t="s">
        <v>109</v>
      </c>
      <c r="B43" s="34">
        <f>SUM(B38:B42)</f>
        <v>1114600</v>
      </c>
      <c r="C43" s="39">
        <f t="shared" si="2"/>
        <v>0.41899105330426284</v>
      </c>
      <c r="D43" s="36"/>
      <c r="E43" s="34">
        <f>SUM(E38:E42)</f>
        <v>1195469.1891891891</v>
      </c>
      <c r="F43" s="40">
        <f t="shared" si="3"/>
        <v>0.37449226536513203</v>
      </c>
    </row>
    <row r="44" spans="1:6" ht="16.5" thickBot="1" x14ac:dyDescent="0.3">
      <c r="A44" s="38" t="s">
        <v>106</v>
      </c>
      <c r="B44" s="54">
        <f>B36-B43</f>
        <v>88000</v>
      </c>
      <c r="C44" s="35">
        <f t="shared" si="2"/>
        <v>3.3080219532365986E-2</v>
      </c>
      <c r="D44" s="40"/>
      <c r="E44" s="54">
        <f>E36-E43</f>
        <v>0</v>
      </c>
      <c r="F44" s="40">
        <f t="shared" si="3"/>
        <v>0</v>
      </c>
    </row>
    <row r="45" spans="1:6" ht="15.75" thickTop="1" x14ac:dyDescent="0.25"/>
    <row r="46" spans="1:6" ht="15.75" x14ac:dyDescent="0.25">
      <c r="A46" s="55" t="s">
        <v>125</v>
      </c>
    </row>
    <row r="47" spans="1:6" ht="15.75" x14ac:dyDescent="0.25">
      <c r="A47" s="38" t="s">
        <v>121</v>
      </c>
    </row>
    <row r="48" spans="1:6" ht="15.75" x14ac:dyDescent="0.25">
      <c r="A48" s="38" t="s">
        <v>122</v>
      </c>
    </row>
    <row r="49" spans="1:6" ht="15.75" x14ac:dyDescent="0.25">
      <c r="A49" s="38" t="s">
        <v>123</v>
      </c>
    </row>
    <row r="50" spans="1:6" ht="15.75" x14ac:dyDescent="0.25">
      <c r="A50" s="38" t="s">
        <v>124</v>
      </c>
    </row>
    <row r="52" spans="1:6" ht="15.75" x14ac:dyDescent="0.25">
      <c r="A52" s="51"/>
      <c r="B52" s="307" t="s">
        <v>91</v>
      </c>
      <c r="C52" s="308"/>
      <c r="D52" s="48" t="s">
        <v>92</v>
      </c>
      <c r="E52" s="308" t="s">
        <v>93</v>
      </c>
      <c r="F52" s="309"/>
    </row>
    <row r="53" spans="1:6" ht="15.75" x14ac:dyDescent="0.25">
      <c r="A53" s="26"/>
      <c r="B53" s="279" t="s">
        <v>111</v>
      </c>
      <c r="C53" s="49" t="s">
        <v>95</v>
      </c>
      <c r="D53" s="49" t="s">
        <v>96</v>
      </c>
      <c r="E53" s="49" t="s">
        <v>111</v>
      </c>
      <c r="F53" s="49" t="s">
        <v>95</v>
      </c>
    </row>
    <row r="54" spans="1:6" ht="15.75" x14ac:dyDescent="0.25">
      <c r="A54" s="26"/>
      <c r="B54" s="50">
        <v>2010</v>
      </c>
      <c r="C54" s="50" t="s">
        <v>97</v>
      </c>
      <c r="D54" s="50" t="s">
        <v>98</v>
      </c>
      <c r="E54" s="50">
        <v>2011</v>
      </c>
      <c r="F54" s="50" t="s">
        <v>97</v>
      </c>
    </row>
    <row r="55" spans="1:6" ht="15.75" x14ac:dyDescent="0.25">
      <c r="A55" s="27" t="s">
        <v>5</v>
      </c>
      <c r="B55" s="28">
        <v>2660200</v>
      </c>
      <c r="C55" s="29">
        <f>B55/$B$11</f>
        <v>1</v>
      </c>
      <c r="D55" s="31">
        <v>0.1716863393729797</v>
      </c>
      <c r="E55" s="28">
        <f>B55*(1+D55)</f>
        <v>3116920.0000000005</v>
      </c>
      <c r="F55" s="31">
        <f>E55/$E$11</f>
        <v>0.9764052828108164</v>
      </c>
    </row>
    <row r="56" spans="1:6" ht="15.75" x14ac:dyDescent="0.25">
      <c r="A56" s="32" t="s">
        <v>99</v>
      </c>
      <c r="B56" s="33">
        <v>1457600</v>
      </c>
      <c r="C56" s="35">
        <f t="shared" ref="C56:C65" si="4">B56/$B$11</f>
        <v>0.54792872716337115</v>
      </c>
      <c r="D56" s="33"/>
      <c r="E56" s="33">
        <v>1915344</v>
      </c>
      <c r="F56" s="36">
        <f t="shared" ref="F56:F65" si="5">E56/$E$11</f>
        <v>0.6</v>
      </c>
    </row>
    <row r="57" spans="1:6" ht="15.75" x14ac:dyDescent="0.25">
      <c r="A57" s="27" t="s">
        <v>62</v>
      </c>
      <c r="B57" s="34">
        <f>B55-B56</f>
        <v>1202600</v>
      </c>
      <c r="C57" s="39">
        <f t="shared" si="4"/>
        <v>0.45207127283662885</v>
      </c>
      <c r="D57" s="34"/>
      <c r="E57" s="34">
        <f>E55-E56</f>
        <v>1201576.0000000005</v>
      </c>
      <c r="F57" s="40">
        <f t="shared" si="5"/>
        <v>0.37640528281081637</v>
      </c>
    </row>
    <row r="58" spans="1:6" ht="15.75" x14ac:dyDescent="0.25">
      <c r="A58" s="52" t="s">
        <v>108</v>
      </c>
      <c r="B58" s="28"/>
      <c r="C58" s="29"/>
      <c r="D58" s="28"/>
      <c r="E58" s="28"/>
      <c r="F58" s="31"/>
    </row>
    <row r="59" spans="1:6" ht="15.75" x14ac:dyDescent="0.25">
      <c r="A59" s="32" t="s">
        <v>38</v>
      </c>
      <c r="B59" s="28">
        <v>700300</v>
      </c>
      <c r="C59" s="29">
        <f t="shared" si="4"/>
        <v>0.26325088339222613</v>
      </c>
      <c r="D59" s="30">
        <v>0.03</v>
      </c>
      <c r="E59" s="28">
        <f>B59*(1+D59)</f>
        <v>721309</v>
      </c>
      <c r="F59" s="31">
        <f t="shared" si="5"/>
        <v>0.22595700824499412</v>
      </c>
    </row>
    <row r="60" spans="1:6" ht="15.75" x14ac:dyDescent="0.25">
      <c r="A60" s="27" t="s">
        <v>29</v>
      </c>
      <c r="B60" s="28">
        <v>47500</v>
      </c>
      <c r="C60" s="29">
        <f t="shared" si="4"/>
        <v>1.7855800315765731E-2</v>
      </c>
      <c r="D60" s="30">
        <v>0</v>
      </c>
      <c r="E60" s="28">
        <f>B60</f>
        <v>47500</v>
      </c>
      <c r="F60" s="31">
        <f t="shared" si="5"/>
        <v>1.4879833596471444E-2</v>
      </c>
    </row>
    <row r="61" spans="1:6" ht="15.75" x14ac:dyDescent="0.25">
      <c r="A61" s="27" t="s">
        <v>113</v>
      </c>
      <c r="B61" s="28">
        <v>300000</v>
      </c>
      <c r="C61" s="29">
        <f t="shared" si="4"/>
        <v>0.11277347567852042</v>
      </c>
      <c r="D61" s="28">
        <f>1200*6</f>
        <v>7200</v>
      </c>
      <c r="E61" s="28">
        <f>B61+D61</f>
        <v>307200</v>
      </c>
      <c r="F61" s="31">
        <f t="shared" si="5"/>
        <v>9.6233365912337415E-2</v>
      </c>
    </row>
    <row r="62" spans="1:6" ht="15.75" x14ac:dyDescent="0.25">
      <c r="A62" s="27" t="s">
        <v>114</v>
      </c>
      <c r="B62" s="28">
        <v>42000</v>
      </c>
      <c r="C62" s="29">
        <f t="shared" si="4"/>
        <v>1.5788286594992859E-2</v>
      </c>
      <c r="D62" s="30"/>
      <c r="E62" s="28">
        <v>95767</v>
      </c>
      <c r="F62" s="31">
        <f t="shared" si="5"/>
        <v>2.9999937348069067E-2</v>
      </c>
    </row>
    <row r="63" spans="1:6" ht="15.75" x14ac:dyDescent="0.25">
      <c r="A63" s="27" t="s">
        <v>41</v>
      </c>
      <c r="B63" s="33">
        <v>24800</v>
      </c>
      <c r="C63" s="35">
        <f t="shared" si="4"/>
        <v>9.322607322757687E-3</v>
      </c>
      <c r="D63" s="33">
        <v>5000</v>
      </c>
      <c r="E63" s="33">
        <f>B63+D63</f>
        <v>29800</v>
      </c>
      <c r="F63" s="36">
        <f t="shared" si="5"/>
        <v>9.3351377089441901E-3</v>
      </c>
    </row>
    <row r="64" spans="1:6" ht="15.75" x14ac:dyDescent="0.25">
      <c r="A64" s="38" t="s">
        <v>109</v>
      </c>
      <c r="B64" s="34">
        <f>SUM(B59:B63)</f>
        <v>1114600</v>
      </c>
      <c r="C64" s="39">
        <f t="shared" si="4"/>
        <v>0.41899105330426284</v>
      </c>
      <c r="D64" s="36"/>
      <c r="E64" s="34">
        <f>SUM(E59:E63)</f>
        <v>1201576</v>
      </c>
      <c r="F64" s="40">
        <f t="shared" si="5"/>
        <v>0.37640528281081626</v>
      </c>
    </row>
    <row r="65" spans="1:6" ht="16.5" thickBot="1" x14ac:dyDescent="0.3">
      <c r="A65" s="38" t="s">
        <v>106</v>
      </c>
      <c r="B65" s="54">
        <f>B57-B64</f>
        <v>88000</v>
      </c>
      <c r="C65" s="35">
        <f t="shared" si="4"/>
        <v>3.3080219532365986E-2</v>
      </c>
      <c r="D65" s="40"/>
      <c r="E65" s="54">
        <f>E57-E64</f>
        <v>0</v>
      </c>
      <c r="F65" s="40">
        <f t="shared" si="5"/>
        <v>0</v>
      </c>
    </row>
    <row r="66" spans="1:6" ht="15.75" thickTop="1" x14ac:dyDescent="0.25"/>
  </sheetData>
  <mergeCells count="4">
    <mergeCell ref="B8:C8"/>
    <mergeCell ref="E8:F8"/>
    <mergeCell ref="B52:C52"/>
    <mergeCell ref="E52:F5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66"/>
  <sheetViews>
    <sheetView workbookViewId="0">
      <selection activeCell="B5" sqref="B5"/>
    </sheetView>
  </sheetViews>
  <sheetFormatPr baseColWidth="10" defaultRowHeight="15" x14ac:dyDescent="0.2"/>
  <cols>
    <col min="1" max="1" width="3.42578125" style="62" customWidth="1"/>
    <col min="2" max="2" width="38.7109375" style="61" customWidth="1"/>
    <col min="3" max="6" width="12.7109375" style="61" customWidth="1"/>
    <col min="7" max="7" width="10.28515625" style="61" customWidth="1"/>
    <col min="8" max="256" width="11.42578125" style="61"/>
    <col min="257" max="257" width="3.42578125" style="61" customWidth="1"/>
    <col min="258" max="258" width="21.28515625" style="61" customWidth="1"/>
    <col min="259" max="263" width="10.28515625" style="61" customWidth="1"/>
    <col min="264" max="512" width="11.42578125" style="61"/>
    <col min="513" max="513" width="3.42578125" style="61" customWidth="1"/>
    <col min="514" max="514" width="21.28515625" style="61" customWidth="1"/>
    <col min="515" max="519" width="10.28515625" style="61" customWidth="1"/>
    <col min="520" max="768" width="11.42578125" style="61"/>
    <col min="769" max="769" width="3.42578125" style="61" customWidth="1"/>
    <col min="770" max="770" width="21.28515625" style="61" customWidth="1"/>
    <col min="771" max="775" width="10.28515625" style="61" customWidth="1"/>
    <col min="776" max="1024" width="11.42578125" style="61"/>
    <col min="1025" max="1025" width="3.42578125" style="61" customWidth="1"/>
    <col min="1026" max="1026" width="21.28515625" style="61" customWidth="1"/>
    <col min="1027" max="1031" width="10.28515625" style="61" customWidth="1"/>
    <col min="1032" max="1280" width="11.42578125" style="61"/>
    <col min="1281" max="1281" width="3.42578125" style="61" customWidth="1"/>
    <col min="1282" max="1282" width="21.28515625" style="61" customWidth="1"/>
    <col min="1283" max="1287" width="10.28515625" style="61" customWidth="1"/>
    <col min="1288" max="1536" width="11.42578125" style="61"/>
    <col min="1537" max="1537" width="3.42578125" style="61" customWidth="1"/>
    <col min="1538" max="1538" width="21.28515625" style="61" customWidth="1"/>
    <col min="1539" max="1543" width="10.28515625" style="61" customWidth="1"/>
    <col min="1544" max="1792" width="11.42578125" style="61"/>
    <col min="1793" max="1793" width="3.42578125" style="61" customWidth="1"/>
    <col min="1794" max="1794" width="21.28515625" style="61" customWidth="1"/>
    <col min="1795" max="1799" width="10.28515625" style="61" customWidth="1"/>
    <col min="1800" max="2048" width="11.42578125" style="61"/>
    <col min="2049" max="2049" width="3.42578125" style="61" customWidth="1"/>
    <col min="2050" max="2050" width="21.28515625" style="61" customWidth="1"/>
    <col min="2051" max="2055" width="10.28515625" style="61" customWidth="1"/>
    <col min="2056" max="2304" width="11.42578125" style="61"/>
    <col min="2305" max="2305" width="3.42578125" style="61" customWidth="1"/>
    <col min="2306" max="2306" width="21.28515625" style="61" customWidth="1"/>
    <col min="2307" max="2311" width="10.28515625" style="61" customWidth="1"/>
    <col min="2312" max="2560" width="11.42578125" style="61"/>
    <col min="2561" max="2561" width="3.42578125" style="61" customWidth="1"/>
    <col min="2562" max="2562" width="21.28515625" style="61" customWidth="1"/>
    <col min="2563" max="2567" width="10.28515625" style="61" customWidth="1"/>
    <col min="2568" max="2816" width="11.42578125" style="61"/>
    <col min="2817" max="2817" width="3.42578125" style="61" customWidth="1"/>
    <col min="2818" max="2818" width="21.28515625" style="61" customWidth="1"/>
    <col min="2819" max="2823" width="10.28515625" style="61" customWidth="1"/>
    <col min="2824" max="3072" width="11.42578125" style="61"/>
    <col min="3073" max="3073" width="3.42578125" style="61" customWidth="1"/>
    <col min="3074" max="3074" width="21.28515625" style="61" customWidth="1"/>
    <col min="3075" max="3079" width="10.28515625" style="61" customWidth="1"/>
    <col min="3080" max="3328" width="11.42578125" style="61"/>
    <col min="3329" max="3329" width="3.42578125" style="61" customWidth="1"/>
    <col min="3330" max="3330" width="21.28515625" style="61" customWidth="1"/>
    <col min="3331" max="3335" width="10.28515625" style="61" customWidth="1"/>
    <col min="3336" max="3584" width="11.42578125" style="61"/>
    <col min="3585" max="3585" width="3.42578125" style="61" customWidth="1"/>
    <col min="3586" max="3586" width="21.28515625" style="61" customWidth="1"/>
    <col min="3587" max="3591" width="10.28515625" style="61" customWidth="1"/>
    <col min="3592" max="3840" width="11.42578125" style="61"/>
    <col min="3841" max="3841" width="3.42578125" style="61" customWidth="1"/>
    <col min="3842" max="3842" width="21.28515625" style="61" customWidth="1"/>
    <col min="3843" max="3847" width="10.28515625" style="61" customWidth="1"/>
    <col min="3848" max="4096" width="11.42578125" style="61"/>
    <col min="4097" max="4097" width="3.42578125" style="61" customWidth="1"/>
    <col min="4098" max="4098" width="21.28515625" style="61" customWidth="1"/>
    <col min="4099" max="4103" width="10.28515625" style="61" customWidth="1"/>
    <col min="4104" max="4352" width="11.42578125" style="61"/>
    <col min="4353" max="4353" width="3.42578125" style="61" customWidth="1"/>
    <col min="4354" max="4354" width="21.28515625" style="61" customWidth="1"/>
    <col min="4355" max="4359" width="10.28515625" style="61" customWidth="1"/>
    <col min="4360" max="4608" width="11.42578125" style="61"/>
    <col min="4609" max="4609" width="3.42578125" style="61" customWidth="1"/>
    <col min="4610" max="4610" width="21.28515625" style="61" customWidth="1"/>
    <col min="4611" max="4615" width="10.28515625" style="61" customWidth="1"/>
    <col min="4616" max="4864" width="11.42578125" style="61"/>
    <col min="4865" max="4865" width="3.42578125" style="61" customWidth="1"/>
    <col min="4866" max="4866" width="21.28515625" style="61" customWidth="1"/>
    <col min="4867" max="4871" width="10.28515625" style="61" customWidth="1"/>
    <col min="4872" max="5120" width="11.42578125" style="61"/>
    <col min="5121" max="5121" width="3.42578125" style="61" customWidth="1"/>
    <col min="5122" max="5122" width="21.28515625" style="61" customWidth="1"/>
    <col min="5123" max="5127" width="10.28515625" style="61" customWidth="1"/>
    <col min="5128" max="5376" width="11.42578125" style="61"/>
    <col min="5377" max="5377" width="3.42578125" style="61" customWidth="1"/>
    <col min="5378" max="5378" width="21.28515625" style="61" customWidth="1"/>
    <col min="5379" max="5383" width="10.28515625" style="61" customWidth="1"/>
    <col min="5384" max="5632" width="11.42578125" style="61"/>
    <col min="5633" max="5633" width="3.42578125" style="61" customWidth="1"/>
    <col min="5634" max="5634" width="21.28515625" style="61" customWidth="1"/>
    <col min="5635" max="5639" width="10.28515625" style="61" customWidth="1"/>
    <col min="5640" max="5888" width="11.42578125" style="61"/>
    <col min="5889" max="5889" width="3.42578125" style="61" customWidth="1"/>
    <col min="5890" max="5890" width="21.28515625" style="61" customWidth="1"/>
    <col min="5891" max="5895" width="10.28515625" style="61" customWidth="1"/>
    <col min="5896" max="6144" width="11.42578125" style="61"/>
    <col min="6145" max="6145" width="3.42578125" style="61" customWidth="1"/>
    <col min="6146" max="6146" width="21.28515625" style="61" customWidth="1"/>
    <col min="6147" max="6151" width="10.28515625" style="61" customWidth="1"/>
    <col min="6152" max="6400" width="11.42578125" style="61"/>
    <col min="6401" max="6401" width="3.42578125" style="61" customWidth="1"/>
    <col min="6402" max="6402" width="21.28515625" style="61" customWidth="1"/>
    <col min="6403" max="6407" width="10.28515625" style="61" customWidth="1"/>
    <col min="6408" max="6656" width="11.42578125" style="61"/>
    <col min="6657" max="6657" width="3.42578125" style="61" customWidth="1"/>
    <col min="6658" max="6658" width="21.28515625" style="61" customWidth="1"/>
    <col min="6659" max="6663" width="10.28515625" style="61" customWidth="1"/>
    <col min="6664" max="6912" width="11.42578125" style="61"/>
    <col min="6913" max="6913" width="3.42578125" style="61" customWidth="1"/>
    <col min="6914" max="6914" width="21.28515625" style="61" customWidth="1"/>
    <col min="6915" max="6919" width="10.28515625" style="61" customWidth="1"/>
    <col min="6920" max="7168" width="11.42578125" style="61"/>
    <col min="7169" max="7169" width="3.42578125" style="61" customWidth="1"/>
    <col min="7170" max="7170" width="21.28515625" style="61" customWidth="1"/>
    <col min="7171" max="7175" width="10.28515625" style="61" customWidth="1"/>
    <col min="7176" max="7424" width="11.42578125" style="61"/>
    <col min="7425" max="7425" width="3.42578125" style="61" customWidth="1"/>
    <col min="7426" max="7426" width="21.28515625" style="61" customWidth="1"/>
    <col min="7427" max="7431" width="10.28515625" style="61" customWidth="1"/>
    <col min="7432" max="7680" width="11.42578125" style="61"/>
    <col min="7681" max="7681" width="3.42578125" style="61" customWidth="1"/>
    <col min="7682" max="7682" width="21.28515625" style="61" customWidth="1"/>
    <col min="7683" max="7687" width="10.28515625" style="61" customWidth="1"/>
    <col min="7688" max="7936" width="11.42578125" style="61"/>
    <col min="7937" max="7937" width="3.42578125" style="61" customWidth="1"/>
    <col min="7938" max="7938" width="21.28515625" style="61" customWidth="1"/>
    <col min="7939" max="7943" width="10.28515625" style="61" customWidth="1"/>
    <col min="7944" max="8192" width="11.42578125" style="61"/>
    <col min="8193" max="8193" width="3.42578125" style="61" customWidth="1"/>
    <col min="8194" max="8194" width="21.28515625" style="61" customWidth="1"/>
    <col min="8195" max="8199" width="10.28515625" style="61" customWidth="1"/>
    <col min="8200" max="8448" width="11.42578125" style="61"/>
    <col min="8449" max="8449" width="3.42578125" style="61" customWidth="1"/>
    <col min="8450" max="8450" width="21.28515625" style="61" customWidth="1"/>
    <col min="8451" max="8455" width="10.28515625" style="61" customWidth="1"/>
    <col min="8456" max="8704" width="11.42578125" style="61"/>
    <col min="8705" max="8705" width="3.42578125" style="61" customWidth="1"/>
    <col min="8706" max="8706" width="21.28515625" style="61" customWidth="1"/>
    <col min="8707" max="8711" width="10.28515625" style="61" customWidth="1"/>
    <col min="8712" max="8960" width="11.42578125" style="61"/>
    <col min="8961" max="8961" width="3.42578125" style="61" customWidth="1"/>
    <col min="8962" max="8962" width="21.28515625" style="61" customWidth="1"/>
    <col min="8963" max="8967" width="10.28515625" style="61" customWidth="1"/>
    <col min="8968" max="9216" width="11.42578125" style="61"/>
    <col min="9217" max="9217" width="3.42578125" style="61" customWidth="1"/>
    <col min="9218" max="9218" width="21.28515625" style="61" customWidth="1"/>
    <col min="9219" max="9223" width="10.28515625" style="61" customWidth="1"/>
    <col min="9224" max="9472" width="11.42578125" style="61"/>
    <col min="9473" max="9473" width="3.42578125" style="61" customWidth="1"/>
    <col min="9474" max="9474" width="21.28515625" style="61" customWidth="1"/>
    <col min="9475" max="9479" width="10.28515625" style="61" customWidth="1"/>
    <col min="9480" max="9728" width="11.42578125" style="61"/>
    <col min="9729" max="9729" width="3.42578125" style="61" customWidth="1"/>
    <col min="9730" max="9730" width="21.28515625" style="61" customWidth="1"/>
    <col min="9731" max="9735" width="10.28515625" style="61" customWidth="1"/>
    <col min="9736" max="9984" width="11.42578125" style="61"/>
    <col min="9985" max="9985" width="3.42578125" style="61" customWidth="1"/>
    <col min="9986" max="9986" width="21.28515625" style="61" customWidth="1"/>
    <col min="9987" max="9991" width="10.28515625" style="61" customWidth="1"/>
    <col min="9992" max="10240" width="11.42578125" style="61"/>
    <col min="10241" max="10241" width="3.42578125" style="61" customWidth="1"/>
    <col min="10242" max="10242" width="21.28515625" style="61" customWidth="1"/>
    <col min="10243" max="10247" width="10.28515625" style="61" customWidth="1"/>
    <col min="10248" max="10496" width="11.42578125" style="61"/>
    <col min="10497" max="10497" width="3.42578125" style="61" customWidth="1"/>
    <col min="10498" max="10498" width="21.28515625" style="61" customWidth="1"/>
    <col min="10499" max="10503" width="10.28515625" style="61" customWidth="1"/>
    <col min="10504" max="10752" width="11.42578125" style="61"/>
    <col min="10753" max="10753" width="3.42578125" style="61" customWidth="1"/>
    <col min="10754" max="10754" width="21.28515625" style="61" customWidth="1"/>
    <col min="10755" max="10759" width="10.28515625" style="61" customWidth="1"/>
    <col min="10760" max="11008" width="11.42578125" style="61"/>
    <col min="11009" max="11009" width="3.42578125" style="61" customWidth="1"/>
    <col min="11010" max="11010" width="21.28515625" style="61" customWidth="1"/>
    <col min="11011" max="11015" width="10.28515625" style="61" customWidth="1"/>
    <col min="11016" max="11264" width="11.42578125" style="61"/>
    <col min="11265" max="11265" width="3.42578125" style="61" customWidth="1"/>
    <col min="11266" max="11266" width="21.28515625" style="61" customWidth="1"/>
    <col min="11267" max="11271" width="10.28515625" style="61" customWidth="1"/>
    <col min="11272" max="11520" width="11.42578125" style="61"/>
    <col min="11521" max="11521" width="3.42578125" style="61" customWidth="1"/>
    <col min="11522" max="11522" width="21.28515625" style="61" customWidth="1"/>
    <col min="11523" max="11527" width="10.28515625" style="61" customWidth="1"/>
    <col min="11528" max="11776" width="11.42578125" style="61"/>
    <col min="11777" max="11777" width="3.42578125" style="61" customWidth="1"/>
    <col min="11778" max="11778" width="21.28515625" style="61" customWidth="1"/>
    <col min="11779" max="11783" width="10.28515625" style="61" customWidth="1"/>
    <col min="11784" max="12032" width="11.42578125" style="61"/>
    <col min="12033" max="12033" width="3.42578125" style="61" customWidth="1"/>
    <col min="12034" max="12034" width="21.28515625" style="61" customWidth="1"/>
    <col min="12035" max="12039" width="10.28515625" style="61" customWidth="1"/>
    <col min="12040" max="12288" width="11.42578125" style="61"/>
    <col min="12289" max="12289" width="3.42578125" style="61" customWidth="1"/>
    <col min="12290" max="12290" width="21.28515625" style="61" customWidth="1"/>
    <col min="12291" max="12295" width="10.28515625" style="61" customWidth="1"/>
    <col min="12296" max="12544" width="11.42578125" style="61"/>
    <col min="12545" max="12545" width="3.42578125" style="61" customWidth="1"/>
    <col min="12546" max="12546" width="21.28515625" style="61" customWidth="1"/>
    <col min="12547" max="12551" width="10.28515625" style="61" customWidth="1"/>
    <col min="12552" max="12800" width="11.42578125" style="61"/>
    <col min="12801" max="12801" width="3.42578125" style="61" customWidth="1"/>
    <col min="12802" max="12802" width="21.28515625" style="61" customWidth="1"/>
    <col min="12803" max="12807" width="10.28515625" style="61" customWidth="1"/>
    <col min="12808" max="13056" width="11.42578125" style="61"/>
    <col min="13057" max="13057" width="3.42578125" style="61" customWidth="1"/>
    <col min="13058" max="13058" width="21.28515625" style="61" customWidth="1"/>
    <col min="13059" max="13063" width="10.28515625" style="61" customWidth="1"/>
    <col min="13064" max="13312" width="11.42578125" style="61"/>
    <col min="13313" max="13313" width="3.42578125" style="61" customWidth="1"/>
    <col min="13314" max="13314" width="21.28515625" style="61" customWidth="1"/>
    <col min="13315" max="13319" width="10.28515625" style="61" customWidth="1"/>
    <col min="13320" max="13568" width="11.42578125" style="61"/>
    <col min="13569" max="13569" width="3.42578125" style="61" customWidth="1"/>
    <col min="13570" max="13570" width="21.28515625" style="61" customWidth="1"/>
    <col min="13571" max="13575" width="10.28515625" style="61" customWidth="1"/>
    <col min="13576" max="13824" width="11.42578125" style="61"/>
    <col min="13825" max="13825" width="3.42578125" style="61" customWidth="1"/>
    <col min="13826" max="13826" width="21.28515625" style="61" customWidth="1"/>
    <col min="13827" max="13831" width="10.28515625" style="61" customWidth="1"/>
    <col min="13832" max="14080" width="11.42578125" style="61"/>
    <col min="14081" max="14081" width="3.42578125" style="61" customWidth="1"/>
    <col min="14082" max="14082" width="21.28515625" style="61" customWidth="1"/>
    <col min="14083" max="14087" width="10.28515625" style="61" customWidth="1"/>
    <col min="14088" max="14336" width="11.42578125" style="61"/>
    <col min="14337" max="14337" width="3.42578125" style="61" customWidth="1"/>
    <col min="14338" max="14338" width="21.28515625" style="61" customWidth="1"/>
    <col min="14339" max="14343" width="10.28515625" style="61" customWidth="1"/>
    <col min="14344" max="14592" width="11.42578125" style="61"/>
    <col min="14593" max="14593" width="3.42578125" style="61" customWidth="1"/>
    <col min="14594" max="14594" width="21.28515625" style="61" customWidth="1"/>
    <col min="14595" max="14599" width="10.28515625" style="61" customWidth="1"/>
    <col min="14600" max="14848" width="11.42578125" style="61"/>
    <col min="14849" max="14849" width="3.42578125" style="61" customWidth="1"/>
    <col min="14850" max="14850" width="21.28515625" style="61" customWidth="1"/>
    <col min="14851" max="14855" width="10.28515625" style="61" customWidth="1"/>
    <col min="14856" max="15104" width="11.42578125" style="61"/>
    <col min="15105" max="15105" width="3.42578125" style="61" customWidth="1"/>
    <col min="15106" max="15106" width="21.28515625" style="61" customWidth="1"/>
    <col min="15107" max="15111" width="10.28515625" style="61" customWidth="1"/>
    <col min="15112" max="15360" width="11.42578125" style="61"/>
    <col min="15361" max="15361" width="3.42578125" style="61" customWidth="1"/>
    <col min="15362" max="15362" width="21.28515625" style="61" customWidth="1"/>
    <col min="15363" max="15367" width="10.28515625" style="61" customWidth="1"/>
    <col min="15368" max="15616" width="11.42578125" style="61"/>
    <col min="15617" max="15617" width="3.42578125" style="61" customWidth="1"/>
    <col min="15618" max="15618" width="21.28515625" style="61" customWidth="1"/>
    <col min="15619" max="15623" width="10.28515625" style="61" customWidth="1"/>
    <col min="15624" max="15872" width="11.42578125" style="61"/>
    <col min="15873" max="15873" width="3.42578125" style="61" customWidth="1"/>
    <col min="15874" max="15874" width="21.28515625" style="61" customWidth="1"/>
    <col min="15875" max="15879" width="10.28515625" style="61" customWidth="1"/>
    <col min="15880" max="16128" width="11.42578125" style="61"/>
    <col min="16129" max="16129" width="3.42578125" style="61" customWidth="1"/>
    <col min="16130" max="16130" width="21.28515625" style="61" customWidth="1"/>
    <col min="16131" max="16135" width="10.28515625" style="61" customWidth="1"/>
    <col min="16136" max="16384" width="11.42578125" style="61"/>
  </cols>
  <sheetData>
    <row r="5" spans="1:5" ht="18.75" x14ac:dyDescent="0.3">
      <c r="B5" s="281" t="s">
        <v>355</v>
      </c>
    </row>
    <row r="6" spans="1:5" ht="18.75" x14ac:dyDescent="0.3">
      <c r="B6" s="281"/>
    </row>
    <row r="7" spans="1:5" ht="15.75" x14ac:dyDescent="0.25">
      <c r="B7" s="64"/>
      <c r="C7" s="63" t="s">
        <v>134</v>
      </c>
    </row>
    <row r="8" spans="1:5" s="66" customFormat="1" ht="15" customHeight="1" x14ac:dyDescent="0.25">
      <c r="A8" s="65"/>
      <c r="C8" s="67">
        <v>2014</v>
      </c>
      <c r="D8" s="67"/>
      <c r="E8" s="68"/>
    </row>
    <row r="9" spans="1:5" ht="18" customHeight="1" x14ac:dyDescent="0.2">
      <c r="A9" s="69"/>
      <c r="B9" s="70" t="s">
        <v>5</v>
      </c>
      <c r="C9" s="71">
        <v>16000000</v>
      </c>
      <c r="D9" s="72"/>
      <c r="E9" s="72"/>
    </row>
    <row r="10" spans="1:5" x14ac:dyDescent="0.2">
      <c r="A10" s="73" t="s">
        <v>126</v>
      </c>
      <c r="B10" s="74" t="s">
        <v>99</v>
      </c>
      <c r="C10" s="75">
        <v>9600000</v>
      </c>
      <c r="D10" s="72"/>
      <c r="E10" s="71"/>
    </row>
    <row r="11" spans="1:5" ht="18" customHeight="1" x14ac:dyDescent="0.2">
      <c r="A11" s="73" t="s">
        <v>127</v>
      </c>
      <c r="B11" s="70" t="s">
        <v>136</v>
      </c>
      <c r="C11" s="76">
        <f>C9-C10</f>
        <v>6400000</v>
      </c>
      <c r="D11" s="72"/>
      <c r="E11" s="71"/>
    </row>
    <row r="12" spans="1:5" x14ac:dyDescent="0.2">
      <c r="A12" s="73"/>
      <c r="B12" s="77" t="s">
        <v>101</v>
      </c>
      <c r="C12" s="71"/>
      <c r="D12" s="72"/>
      <c r="E12" s="71"/>
    </row>
    <row r="13" spans="1:5" x14ac:dyDescent="0.2">
      <c r="A13" s="69"/>
      <c r="B13" s="74" t="s">
        <v>135</v>
      </c>
      <c r="C13" s="71">
        <v>2780000</v>
      </c>
      <c r="D13" s="72"/>
      <c r="E13" s="71"/>
    </row>
    <row r="14" spans="1:5" x14ac:dyDescent="0.2">
      <c r="A14" s="69"/>
      <c r="B14" s="70" t="s">
        <v>40</v>
      </c>
      <c r="C14" s="71">
        <v>380000</v>
      </c>
      <c r="D14" s="72"/>
      <c r="E14" s="71"/>
    </row>
    <row r="15" spans="1:5" x14ac:dyDescent="0.2">
      <c r="A15" s="69"/>
      <c r="B15" s="70" t="s">
        <v>29</v>
      </c>
      <c r="C15" s="71">
        <v>360000</v>
      </c>
      <c r="D15" s="72"/>
      <c r="E15" s="71"/>
    </row>
    <row r="16" spans="1:5" x14ac:dyDescent="0.2">
      <c r="A16" s="69"/>
      <c r="B16" s="70" t="s">
        <v>41</v>
      </c>
      <c r="C16" s="71">
        <v>2100000</v>
      </c>
      <c r="D16" s="72"/>
      <c r="E16" s="72"/>
    </row>
    <row r="17" spans="1:7" ht="18" customHeight="1" x14ac:dyDescent="0.2">
      <c r="A17" s="69"/>
      <c r="B17" s="74" t="s">
        <v>43</v>
      </c>
      <c r="C17" s="76">
        <f>SUM(C13:C16)</f>
        <v>5620000</v>
      </c>
      <c r="D17" s="72"/>
      <c r="E17" s="72"/>
    </row>
    <row r="18" spans="1:7" ht="18" customHeight="1" thickBot="1" x14ac:dyDescent="0.25">
      <c r="A18" s="69"/>
      <c r="B18" s="70" t="s">
        <v>9</v>
      </c>
      <c r="C18" s="78">
        <f>C11-C17</f>
        <v>780000</v>
      </c>
      <c r="D18" s="72"/>
      <c r="E18" s="71"/>
    </row>
    <row r="19" spans="1:7" ht="15.75" thickTop="1" x14ac:dyDescent="0.2">
      <c r="A19" s="69"/>
      <c r="B19" s="70"/>
      <c r="C19" s="71"/>
      <c r="D19" s="79"/>
      <c r="E19" s="70"/>
      <c r="F19" s="71"/>
      <c r="G19" s="72"/>
    </row>
    <row r="20" spans="1:7" ht="15.75" x14ac:dyDescent="0.25">
      <c r="A20" s="69"/>
      <c r="B20" s="68" t="s">
        <v>128</v>
      </c>
      <c r="C20" s="71"/>
      <c r="D20" s="79"/>
      <c r="E20" s="70"/>
      <c r="F20" s="71"/>
      <c r="G20" s="72"/>
    </row>
    <row r="21" spans="1:7" s="82" customFormat="1" ht="15.75" x14ac:dyDescent="0.25">
      <c r="A21" s="80"/>
      <c r="B21" s="81"/>
      <c r="C21" s="82" t="s">
        <v>129</v>
      </c>
      <c r="D21" s="82" t="s">
        <v>130</v>
      </c>
      <c r="E21" s="82" t="s">
        <v>131</v>
      </c>
    </row>
    <row r="22" spans="1:7" x14ac:dyDescent="0.2">
      <c r="A22" s="69"/>
      <c r="B22" s="70" t="s">
        <v>132</v>
      </c>
      <c r="C22" s="83">
        <v>0.06</v>
      </c>
      <c r="D22" s="83">
        <v>7.0000000000000007E-2</v>
      </c>
      <c r="E22" s="83">
        <v>0.08</v>
      </c>
    </row>
    <row r="23" spans="1:7" x14ac:dyDescent="0.2">
      <c r="A23" s="69"/>
      <c r="B23" s="70" t="s">
        <v>6</v>
      </c>
      <c r="C23" s="83">
        <v>0.06</v>
      </c>
      <c r="D23" s="83">
        <v>7.0000000000000007E-2</v>
      </c>
      <c r="E23" s="83">
        <v>0.08</v>
      </c>
    </row>
    <row r="24" spans="1:7" x14ac:dyDescent="0.2">
      <c r="A24" s="69"/>
      <c r="B24" s="70" t="str">
        <f>B13</f>
        <v>Lønn og sosiale kostnader</v>
      </c>
      <c r="C24" s="83">
        <f>1/12</f>
        <v>8.3333333333333329E-2</v>
      </c>
      <c r="D24" s="83">
        <f t="shared" ref="D24:E27" si="0">1/12</f>
        <v>8.3333333333333329E-2</v>
      </c>
      <c r="E24" s="83">
        <f t="shared" si="0"/>
        <v>8.3333333333333329E-2</v>
      </c>
    </row>
    <row r="25" spans="1:7" x14ac:dyDescent="0.2">
      <c r="A25" s="69"/>
      <c r="B25" s="70" t="str">
        <f>B14</f>
        <v>Husleie</v>
      </c>
      <c r="C25" s="83">
        <f>1/12</f>
        <v>8.3333333333333329E-2</v>
      </c>
      <c r="D25" s="83">
        <f t="shared" si="0"/>
        <v>8.3333333333333329E-2</v>
      </c>
      <c r="E25" s="83">
        <f t="shared" si="0"/>
        <v>8.3333333333333329E-2</v>
      </c>
    </row>
    <row r="26" spans="1:7" x14ac:dyDescent="0.2">
      <c r="A26" s="69"/>
      <c r="B26" s="70" t="str">
        <f>B15</f>
        <v>Avskrivninger</v>
      </c>
      <c r="C26" s="83">
        <f>1/12</f>
        <v>8.3333333333333329E-2</v>
      </c>
      <c r="D26" s="83">
        <f t="shared" si="0"/>
        <v>8.3333333333333329E-2</v>
      </c>
      <c r="E26" s="83">
        <f t="shared" si="0"/>
        <v>8.3333333333333329E-2</v>
      </c>
    </row>
    <row r="27" spans="1:7" x14ac:dyDescent="0.2">
      <c r="A27" s="69"/>
      <c r="B27" s="70" t="str">
        <f>B16</f>
        <v>Andre driftskostnader</v>
      </c>
      <c r="C27" s="83">
        <f>1/12</f>
        <v>8.3333333333333329E-2</v>
      </c>
      <c r="D27" s="83">
        <f t="shared" si="0"/>
        <v>8.3333333333333329E-2</v>
      </c>
      <c r="E27" s="83">
        <f t="shared" si="0"/>
        <v>8.3333333333333329E-2</v>
      </c>
    </row>
    <row r="28" spans="1:7" x14ac:dyDescent="0.2">
      <c r="A28" s="69"/>
      <c r="B28" s="70"/>
    </row>
    <row r="29" spans="1:7" ht="15.75" x14ac:dyDescent="0.25">
      <c r="A29" s="63" t="s">
        <v>82</v>
      </c>
      <c r="B29" s="66" t="s">
        <v>142</v>
      </c>
    </row>
    <row r="30" spans="1:7" s="82" customFormat="1" ht="15.95" customHeight="1" x14ac:dyDescent="0.25">
      <c r="A30" s="63"/>
      <c r="C30" s="84" t="s">
        <v>129</v>
      </c>
      <c r="D30" s="85" t="s">
        <v>130</v>
      </c>
      <c r="E30" s="84" t="s">
        <v>131</v>
      </c>
      <c r="F30" s="84" t="s">
        <v>32</v>
      </c>
    </row>
    <row r="31" spans="1:7" ht="18" customHeight="1" x14ac:dyDescent="0.2">
      <c r="B31" s="61" t="s">
        <v>5</v>
      </c>
      <c r="C31" s="86">
        <f>ROUND($C$9*C22,-1)</f>
        <v>960000</v>
      </c>
      <c r="D31" s="86">
        <f>ROUND($C$9*D22,-1)</f>
        <v>1120000</v>
      </c>
      <c r="E31" s="86">
        <f>ROUND($C$9*E22,-1)</f>
        <v>1280000</v>
      </c>
      <c r="F31" s="86">
        <f>SUM(C31:E31)</f>
        <v>3360000</v>
      </c>
    </row>
    <row r="32" spans="1:7" x14ac:dyDescent="0.2">
      <c r="A32" s="87" t="s">
        <v>126</v>
      </c>
      <c r="B32" s="88" t="s">
        <v>99</v>
      </c>
      <c r="C32" s="89">
        <f>ROUND($C$10*C23,-1)</f>
        <v>576000</v>
      </c>
      <c r="D32" s="89">
        <f>ROUND($C$10*D23,-1)</f>
        <v>672000</v>
      </c>
      <c r="E32" s="89">
        <f>ROUND($C$10*E23,-1)</f>
        <v>768000</v>
      </c>
      <c r="F32" s="89">
        <f t="shared" ref="F32:F40" si="1">SUM(C32:E32)</f>
        <v>2016000</v>
      </c>
    </row>
    <row r="33" spans="1:6" ht="18" customHeight="1" x14ac:dyDescent="0.2">
      <c r="A33" s="87" t="s">
        <v>127</v>
      </c>
      <c r="B33" s="61" t="s">
        <v>137</v>
      </c>
      <c r="C33" s="90">
        <f>C31-C32</f>
        <v>384000</v>
      </c>
      <c r="D33" s="90">
        <f>D31-D32</f>
        <v>448000</v>
      </c>
      <c r="E33" s="90">
        <f>E31-E32</f>
        <v>512000</v>
      </c>
      <c r="F33" s="90">
        <f t="shared" si="1"/>
        <v>1344000</v>
      </c>
    </row>
    <row r="34" spans="1:6" x14ac:dyDescent="0.2">
      <c r="B34" s="91" t="s">
        <v>101</v>
      </c>
      <c r="C34" s="86"/>
      <c r="D34" s="86"/>
      <c r="E34" s="86"/>
      <c r="F34" s="86"/>
    </row>
    <row r="35" spans="1:6" x14ac:dyDescent="0.2">
      <c r="B35" s="61" t="str">
        <f>B13</f>
        <v>Lønn og sosiale kostnader</v>
      </c>
      <c r="C35" s="92">
        <f>ROUND($C$13*C24,-1)</f>
        <v>231670</v>
      </c>
      <c r="D35" s="92">
        <f>ROUND($C$13*D24,-1)</f>
        <v>231670</v>
      </c>
      <c r="E35" s="92">
        <f>ROUND($C$13*E24,-1)</f>
        <v>231670</v>
      </c>
      <c r="F35" s="92">
        <f t="shared" si="1"/>
        <v>695010</v>
      </c>
    </row>
    <row r="36" spans="1:6" x14ac:dyDescent="0.2">
      <c r="B36" s="61" t="str">
        <f>B14</f>
        <v>Husleie</v>
      </c>
      <c r="C36" s="92">
        <f>ROUND($C$14*C25,-1)</f>
        <v>31670</v>
      </c>
      <c r="D36" s="92">
        <f>ROUND($C$14*D25,-1)</f>
        <v>31670</v>
      </c>
      <c r="E36" s="92">
        <f>ROUND($C$14*E25,-1)</f>
        <v>31670</v>
      </c>
      <c r="F36" s="92">
        <f t="shared" si="1"/>
        <v>95010</v>
      </c>
    </row>
    <row r="37" spans="1:6" x14ac:dyDescent="0.2">
      <c r="B37" s="61" t="str">
        <f>B15</f>
        <v>Avskrivninger</v>
      </c>
      <c r="C37" s="92">
        <f>ROUND($C$15*C26,-1)</f>
        <v>30000</v>
      </c>
      <c r="D37" s="92">
        <f>ROUND($C$15*D26,-1)</f>
        <v>30000</v>
      </c>
      <c r="E37" s="92">
        <f>ROUND($C$15*E26,-1)</f>
        <v>30000</v>
      </c>
      <c r="F37" s="92">
        <f t="shared" si="1"/>
        <v>90000</v>
      </c>
    </row>
    <row r="38" spans="1:6" x14ac:dyDescent="0.2">
      <c r="B38" s="61" t="str">
        <f>B16</f>
        <v>Andre driftskostnader</v>
      </c>
      <c r="C38" s="89">
        <f>ROUND($C$16*C27,-1)</f>
        <v>175000</v>
      </c>
      <c r="D38" s="89">
        <f>ROUND($C$16*D27,-1)</f>
        <v>175000</v>
      </c>
      <c r="E38" s="89">
        <f>ROUND($C$16*E27,-1)</f>
        <v>175000</v>
      </c>
      <c r="F38" s="89">
        <f t="shared" si="1"/>
        <v>525000</v>
      </c>
    </row>
    <row r="39" spans="1:6" ht="18" customHeight="1" x14ac:dyDescent="0.2">
      <c r="B39" s="88" t="s">
        <v>43</v>
      </c>
      <c r="C39" s="90">
        <f>SUM(C35:C38)</f>
        <v>468340</v>
      </c>
      <c r="D39" s="90">
        <f>SUM(D35:D38)</f>
        <v>468340</v>
      </c>
      <c r="E39" s="90">
        <f>SUM(E35:E38)</f>
        <v>468340</v>
      </c>
      <c r="F39" s="90">
        <f t="shared" si="1"/>
        <v>1405020</v>
      </c>
    </row>
    <row r="40" spans="1:6" ht="18" customHeight="1" thickBot="1" x14ac:dyDescent="0.25">
      <c r="B40" s="61" t="s">
        <v>9</v>
      </c>
      <c r="C40" s="93">
        <f>C33-C39</f>
        <v>-84340</v>
      </c>
      <c r="D40" s="93">
        <f>D33-D39</f>
        <v>-20340</v>
      </c>
      <c r="E40" s="93">
        <f>E33-E39</f>
        <v>43660</v>
      </c>
      <c r="F40" s="93">
        <f t="shared" si="1"/>
        <v>-61020</v>
      </c>
    </row>
    <row r="41" spans="1:6" ht="15.75" thickTop="1" x14ac:dyDescent="0.2"/>
    <row r="42" spans="1:6" ht="15.75" x14ac:dyDescent="0.25">
      <c r="A42" s="63" t="s">
        <v>84</v>
      </c>
      <c r="B42" s="88" t="s">
        <v>140</v>
      </c>
    </row>
    <row r="44" spans="1:6" ht="15.75" x14ac:dyDescent="0.25">
      <c r="C44" s="82" t="s">
        <v>26</v>
      </c>
      <c r="D44" s="82" t="s">
        <v>138</v>
      </c>
      <c r="E44" s="82" t="s">
        <v>139</v>
      </c>
    </row>
    <row r="45" spans="1:6" x14ac:dyDescent="0.2">
      <c r="C45" s="83">
        <v>0.12</v>
      </c>
      <c r="D45" s="83">
        <v>0.12</v>
      </c>
      <c r="E45" s="83">
        <v>0.09</v>
      </c>
    </row>
    <row r="46" spans="1:6" x14ac:dyDescent="0.2">
      <c r="C46" s="83">
        <v>0.12</v>
      </c>
      <c r="D46" s="83">
        <v>0.12</v>
      </c>
      <c r="E46" s="83">
        <v>0.09</v>
      </c>
    </row>
    <row r="47" spans="1:6" x14ac:dyDescent="0.2">
      <c r="C47" s="83">
        <f>1/12</f>
        <v>8.3333333333333329E-2</v>
      </c>
      <c r="D47" s="83">
        <f t="shared" ref="D47:E50" si="2">1/12</f>
        <v>8.3333333333333329E-2</v>
      </c>
      <c r="E47" s="83">
        <f t="shared" si="2"/>
        <v>8.3333333333333329E-2</v>
      </c>
    </row>
    <row r="48" spans="1:6" x14ac:dyDescent="0.2">
      <c r="C48" s="83">
        <f>1/12</f>
        <v>8.3333333333333329E-2</v>
      </c>
      <c r="D48" s="83">
        <f t="shared" si="2"/>
        <v>8.3333333333333329E-2</v>
      </c>
      <c r="E48" s="83">
        <f t="shared" si="2"/>
        <v>8.3333333333333329E-2</v>
      </c>
    </row>
    <row r="49" spans="2:6" x14ac:dyDescent="0.2">
      <c r="C49" s="83">
        <f>1/12</f>
        <v>8.3333333333333329E-2</v>
      </c>
      <c r="D49" s="83">
        <f t="shared" si="2"/>
        <v>8.3333333333333329E-2</v>
      </c>
      <c r="E49" s="83">
        <f t="shared" si="2"/>
        <v>8.3333333333333329E-2</v>
      </c>
    </row>
    <row r="50" spans="2:6" x14ac:dyDescent="0.2">
      <c r="C50" s="83">
        <f>1/12</f>
        <v>8.3333333333333329E-2</v>
      </c>
      <c r="D50" s="83">
        <f t="shared" si="2"/>
        <v>8.3333333333333329E-2</v>
      </c>
      <c r="E50" s="83">
        <f t="shared" si="2"/>
        <v>8.3333333333333329E-2</v>
      </c>
    </row>
    <row r="52" spans="2:6" ht="15.75" x14ac:dyDescent="0.25">
      <c r="B52" s="66" t="s">
        <v>133</v>
      </c>
    </row>
    <row r="53" spans="2:6" ht="15.75" x14ac:dyDescent="0.25">
      <c r="B53" s="82"/>
      <c r="C53" s="84" t="s">
        <v>129</v>
      </c>
      <c r="D53" s="85" t="s">
        <v>130</v>
      </c>
      <c r="E53" s="84" t="s">
        <v>131</v>
      </c>
      <c r="F53" s="84" t="s">
        <v>32</v>
      </c>
    </row>
    <row r="54" spans="2:6" x14ac:dyDescent="0.2">
      <c r="B54" s="61" t="s">
        <v>5</v>
      </c>
      <c r="C54" s="86">
        <f>ROUND($C$9*C45,-1)</f>
        <v>1920000</v>
      </c>
      <c r="D54" s="86">
        <f>ROUND($C$9*D45,-1)</f>
        <v>1920000</v>
      </c>
      <c r="E54" s="86">
        <f>ROUND($C$9*E45,-1)</f>
        <v>1440000</v>
      </c>
      <c r="F54" s="86">
        <f>SUM(C54:E54)</f>
        <v>5280000</v>
      </c>
    </row>
    <row r="55" spans="2:6" x14ac:dyDescent="0.2">
      <c r="B55" s="88" t="s">
        <v>99</v>
      </c>
      <c r="C55" s="89">
        <f>ROUND($C$10*C46,-1)</f>
        <v>1152000</v>
      </c>
      <c r="D55" s="89">
        <f>ROUND($C$10*D46,-1)</f>
        <v>1152000</v>
      </c>
      <c r="E55" s="89">
        <f>ROUND($C$10*E46,-1)</f>
        <v>864000</v>
      </c>
      <c r="F55" s="89">
        <f t="shared" ref="F55:F56" si="3">SUM(C55:E55)</f>
        <v>3168000</v>
      </c>
    </row>
    <row r="56" spans="2:6" x14ac:dyDescent="0.2">
      <c r="B56" s="61" t="s">
        <v>137</v>
      </c>
      <c r="C56" s="90">
        <f>C54-C55</f>
        <v>768000</v>
      </c>
      <c r="D56" s="90">
        <f>D54-D55</f>
        <v>768000</v>
      </c>
      <c r="E56" s="90">
        <f>E54-E55</f>
        <v>576000</v>
      </c>
      <c r="F56" s="90">
        <f t="shared" si="3"/>
        <v>2112000</v>
      </c>
    </row>
    <row r="57" spans="2:6" x14ac:dyDescent="0.2">
      <c r="B57" s="91" t="s">
        <v>101</v>
      </c>
      <c r="C57" s="86"/>
      <c r="D57" s="86"/>
      <c r="E57" s="86"/>
      <c r="F57" s="86"/>
    </row>
    <row r="58" spans="2:6" x14ac:dyDescent="0.2">
      <c r="B58" s="61" t="str">
        <f>B36</f>
        <v>Husleie</v>
      </c>
      <c r="C58" s="92">
        <f>ROUND($C$13*C47,-1)</f>
        <v>231670</v>
      </c>
      <c r="D58" s="92">
        <f>ROUND($C$13*D47,-1)</f>
        <v>231670</v>
      </c>
      <c r="E58" s="92">
        <f>ROUND($C$13*E47,-1)</f>
        <v>231670</v>
      </c>
      <c r="F58" s="92">
        <f t="shared" ref="F58:F63" si="4">SUM(C58:E58)</f>
        <v>695010</v>
      </c>
    </row>
    <row r="59" spans="2:6" x14ac:dyDescent="0.2">
      <c r="B59" s="61" t="str">
        <f>B37</f>
        <v>Avskrivninger</v>
      </c>
      <c r="C59" s="92">
        <f>ROUND($C$14*C48,-1)</f>
        <v>31670</v>
      </c>
      <c r="D59" s="92">
        <f>ROUND($C$14*D48,-1)</f>
        <v>31670</v>
      </c>
      <c r="E59" s="92">
        <f>ROUND($C$14*E48,-1)</f>
        <v>31670</v>
      </c>
      <c r="F59" s="92">
        <f t="shared" si="4"/>
        <v>95010</v>
      </c>
    </row>
    <row r="60" spans="2:6" x14ac:dyDescent="0.2">
      <c r="B60" s="61" t="str">
        <f>B38</f>
        <v>Andre driftskostnader</v>
      </c>
      <c r="C60" s="92">
        <f>ROUND($C$15*C49,-1)</f>
        <v>30000</v>
      </c>
      <c r="D60" s="92">
        <f>ROUND($C$15*D49,-1)</f>
        <v>30000</v>
      </c>
      <c r="E60" s="92">
        <f>ROUND($C$15*E49,-1)</f>
        <v>30000</v>
      </c>
      <c r="F60" s="92">
        <f t="shared" si="4"/>
        <v>90000</v>
      </c>
    </row>
    <row r="61" spans="2:6" x14ac:dyDescent="0.2">
      <c r="B61" s="61" t="str">
        <f>B39</f>
        <v>Sum faste kostnader</v>
      </c>
      <c r="C61" s="89">
        <f>ROUND($C$16*C50,-1)</f>
        <v>175000</v>
      </c>
      <c r="D61" s="89">
        <f>ROUND($C$16*D50,-1)</f>
        <v>175000</v>
      </c>
      <c r="E61" s="89">
        <f>ROUND($C$16*E50,-1)</f>
        <v>175000</v>
      </c>
      <c r="F61" s="89">
        <f t="shared" si="4"/>
        <v>525000</v>
      </c>
    </row>
    <row r="62" spans="2:6" x14ac:dyDescent="0.2">
      <c r="B62" s="88" t="s">
        <v>43</v>
      </c>
      <c r="C62" s="90">
        <f>SUM(C58:C61)</f>
        <v>468340</v>
      </c>
      <c r="D62" s="90">
        <f>SUM(D58:D61)</f>
        <v>468340</v>
      </c>
      <c r="E62" s="90">
        <f>SUM(E58:E61)</f>
        <v>468340</v>
      </c>
      <c r="F62" s="90">
        <f t="shared" si="4"/>
        <v>1405020</v>
      </c>
    </row>
    <row r="63" spans="2:6" ht="15.75" thickBot="1" x14ac:dyDescent="0.25">
      <c r="B63" s="61" t="s">
        <v>9</v>
      </c>
      <c r="C63" s="93">
        <f>C56-C62</f>
        <v>299660</v>
      </c>
      <c r="D63" s="93">
        <f>D56-D62</f>
        <v>299660</v>
      </c>
      <c r="E63" s="93">
        <f>E56-E62</f>
        <v>107660</v>
      </c>
      <c r="F63" s="93">
        <f t="shared" si="4"/>
        <v>706980</v>
      </c>
    </row>
    <row r="64" spans="2:6" ht="15.75" thickTop="1" x14ac:dyDescent="0.2"/>
    <row r="66" spans="1:1" ht="15.75" x14ac:dyDescent="0.25">
      <c r="A66" s="63" t="s">
        <v>141</v>
      </c>
    </row>
  </sheetData>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6"/>
  <sheetViews>
    <sheetView workbookViewId="0"/>
  </sheetViews>
  <sheetFormatPr baseColWidth="10" defaultRowHeight="15" x14ac:dyDescent="0.25"/>
  <cols>
    <col min="1" max="1" width="15.140625" customWidth="1"/>
    <col min="2" max="3" width="35.7109375" customWidth="1"/>
  </cols>
  <sheetData>
    <row r="5" spans="1:3" ht="18.75" x14ac:dyDescent="0.3">
      <c r="A5" s="278" t="s">
        <v>357</v>
      </c>
    </row>
    <row r="7" spans="1:3" ht="15.75" x14ac:dyDescent="0.25">
      <c r="A7" s="282" t="s">
        <v>356</v>
      </c>
      <c r="B7" s="102"/>
      <c r="C7" s="102"/>
    </row>
    <row r="8" spans="1:3" ht="15.75" x14ac:dyDescent="0.25">
      <c r="A8" s="282" t="s">
        <v>157</v>
      </c>
      <c r="B8" s="102"/>
      <c r="C8" s="102"/>
    </row>
    <row r="9" spans="1:3" ht="16.5" thickBot="1" x14ac:dyDescent="0.3">
      <c r="A9" s="282"/>
      <c r="B9" s="102"/>
      <c r="C9" s="102"/>
    </row>
    <row r="10" spans="1:3" ht="16.5" thickBot="1" x14ac:dyDescent="0.3">
      <c r="A10" s="283"/>
      <c r="B10" s="284" t="s">
        <v>143</v>
      </c>
      <c r="C10" s="284" t="s">
        <v>144</v>
      </c>
    </row>
    <row r="11" spans="1:3" ht="16.5" thickBot="1" x14ac:dyDescent="0.3">
      <c r="A11" s="285" t="s">
        <v>145</v>
      </c>
      <c r="B11" s="286" t="s">
        <v>150</v>
      </c>
      <c r="C11" s="286" t="s">
        <v>151</v>
      </c>
    </row>
    <row r="12" spans="1:3" ht="16.5" thickBot="1" x14ac:dyDescent="0.3">
      <c r="A12" s="285" t="s">
        <v>146</v>
      </c>
      <c r="B12" s="286" t="s">
        <v>152</v>
      </c>
      <c r="C12" s="286" t="s">
        <v>152</v>
      </c>
    </row>
    <row r="13" spans="1:3" ht="16.5" thickBot="1" x14ac:dyDescent="0.3">
      <c r="A13" s="285" t="s">
        <v>147</v>
      </c>
      <c r="B13" s="287" t="s">
        <v>153</v>
      </c>
      <c r="C13" s="286" t="s">
        <v>154</v>
      </c>
    </row>
    <row r="14" spans="1:3" ht="16.5" thickBot="1" x14ac:dyDescent="0.3">
      <c r="A14" s="285" t="s">
        <v>148</v>
      </c>
      <c r="B14" s="286" t="s">
        <v>154</v>
      </c>
      <c r="C14" s="286" t="s">
        <v>153</v>
      </c>
    </row>
    <row r="15" spans="1:3" ht="16.5" thickBot="1" x14ac:dyDescent="0.3">
      <c r="A15" s="285" t="s">
        <v>149</v>
      </c>
      <c r="B15" s="286" t="s">
        <v>155</v>
      </c>
      <c r="C15" s="286" t="s">
        <v>156</v>
      </c>
    </row>
    <row r="16" spans="1:3" ht="15.75" x14ac:dyDescent="0.25">
      <c r="A16" s="9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lpstr>9.17</vt:lpstr>
      <vt:lpstr>9.18</vt:lpstr>
      <vt:lpstr>9.19</vt:lpstr>
      <vt:lpstr>9.20</vt:lpstr>
      <vt:lpstr>9.21</vt:lpstr>
      <vt:lpstr>9.22</vt:lpstr>
      <vt:lpstr>Ark1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Annelise</dc:creator>
  <cp:lastModifiedBy>Anne Berrefjord</cp:lastModifiedBy>
  <cp:lastPrinted>2016-04-05T09:34:38Z</cp:lastPrinted>
  <dcterms:created xsi:type="dcterms:W3CDTF">2014-07-02T16:25:09Z</dcterms:created>
  <dcterms:modified xsi:type="dcterms:W3CDTF">2016-04-05T16:08:22Z</dcterms:modified>
</cp:coreProperties>
</file>