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8.xml" ContentType="application/vnd.ms-excel.controlproperties+xml"/>
  <Override PartName="/xl/charts/chart3.xml" ContentType="application/vnd.openxmlformats-officedocument.drawingml.chart+xml"/>
  <Override PartName="/xl/drawings/drawing3.xml" ContentType="application/vnd.openxmlformats-officedocument.drawing+xml"/>
  <Override PartName="/xl/ctrlProps/ctrlProp9.xml" ContentType="application/vnd.ms-excel.controlproperties+xml"/>
  <Override PartName="/xl/charts/chart4.xml" ContentType="application/vnd.openxmlformats-officedocument.drawingml.chart+xml"/>
  <Override PartName="/xl/drawings/drawing4.xml" ContentType="application/vnd.openxmlformats-officedocument.drawing+xml"/>
  <Override PartName="/xl/ctrlProps/ctrlProp10.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showInkAnnotation="0" codeName="ThisWorkbook" autoCompressPictures="0"/>
  <bookViews>
    <workbookView xWindow="825" yWindow="1455" windowWidth="20730" windowHeight="11760"/>
  </bookViews>
  <sheets>
    <sheet name="Markedstilpasning" sheetId="1" r:id="rId1"/>
    <sheet name="Enhetsdiagram" sheetId="3" r:id="rId2"/>
    <sheet name="Totaldiagram" sheetId="2" r:id="rId3"/>
    <sheet name="Hjelp" sheetId="4" r:id="rId4"/>
  </sheets>
  <functionGroups builtInGroupCount="17"/>
  <definedNames>
    <definedName name="\E">Markedstilpasning!$W$6</definedName>
    <definedName name="\K">Markedstilpasning!$W$6</definedName>
    <definedName name="\R">Markedstilpasning!$W$10</definedName>
    <definedName name="\T">Markedstilpasning!$W$12</definedName>
    <definedName name="_Fill" localSheetId="0" hidden="1">Markedstilpasning!$M$42:$M$62</definedName>
    <definedName name="_mm2">Markedstilpasning!$E$15</definedName>
    <definedName name="_pm2">Markedstilpasning!$E$14</definedName>
    <definedName name="EFTK">Markedstilpasning!$E$19</definedName>
    <definedName name="Enhet" function="1" xlm="1">Markedstilpasning!$AF$4</definedName>
    <definedName name="enhetsdiagram" localSheetId="0">"Diagram 112"</definedName>
    <definedName name="EP">Markedstilpasning!$E$17</definedName>
    <definedName name="EVK">Markedstilpasning!$E$18</definedName>
    <definedName name="fryspunkt">Markedstilpasning!$A$2</definedName>
    <definedName name="FTK">Markedstilpasning!$E$13</definedName>
    <definedName name="Graf" localSheetId="0">#N/A</definedName>
    <definedName name="Graf1" localSheetId="0">#N/A</definedName>
    <definedName name="innpunkt">Markedstilpasning!$F$3</definedName>
    <definedName name="Intervall">Markedstilpasning!$E$7</definedName>
    <definedName name="Lås" localSheetId="0">#N/A</definedName>
    <definedName name="Låsopp" localSheetId="0">#N/A</definedName>
    <definedName name="m">Markedstilpasning!$W$42:$W$62</definedName>
    <definedName name="mengde2">Markedstilpasning!$A$42:$A$62</definedName>
    <definedName name="mengde3">Markedstilpasning!$AD$42:$AD$62</definedName>
    <definedName name="midlertidig" localSheetId="0">"Diagram 75"</definedName>
    <definedName name="pris">Markedstilpasning!$B$42:$B$62</definedName>
    <definedName name="Prisendring">Markedstilpasning!$E$9</definedName>
    <definedName name="_xlnm.Recorder">#REF!</definedName>
    <definedName name="resultat">Markedstilpasning!$B$54</definedName>
    <definedName name="sek">Markedstilpasning!$G$42:$G$62</definedName>
    <definedName name="solver_lin" localSheetId="0" hidden="1">0</definedName>
    <definedName name="solver_num" localSheetId="0" hidden="1">0</definedName>
    <definedName name="solver_opt" localSheetId="0" hidden="1">Markedstilpasning!$O$45</definedName>
    <definedName name="solver_typ" localSheetId="0" hidden="1">1</definedName>
    <definedName name="solver_val" localSheetId="0" hidden="1">0</definedName>
    <definedName name="Startmengde">Markedstilpasning!$E$5</definedName>
    <definedName name="Startpris">Markedstilpasning!$E$8</definedName>
    <definedName name="sti">Markedstilpasning!$Z$42:$Z$62</definedName>
    <definedName name="stk">Markedstilpasning!$R$42:$R$62</definedName>
    <definedName name="stoppmengde">Markedstilpasning!$E$6</definedName>
    <definedName name="svek">Markedstilpasning!$F$42:$F$62</definedName>
    <definedName name="tab1start">Markedstilpasning!$L$39</definedName>
    <definedName name="tab2start">Markedstilpasning!$A$39</definedName>
    <definedName name="tabell1">Markedstilpasning!$M$42</definedName>
    <definedName name="tabell2">Markedstilpasning!$A$42</definedName>
    <definedName name="tabells">Markedstilpasning!$D$62</definedName>
    <definedName name="total">Markedstilpasning!$AD$4</definedName>
    <definedName name="totaldiagram" localSheetId="0">"Diagram 109"</definedName>
    <definedName name="Totale_inntekter_og_kostnader__resultat_og_dekningsbidrag_totalt">Markedstilpasning!$AD$39:$AR$99</definedName>
    <definedName name="utskrift1" localSheetId="0">Markedstilpasning!$AD$37:$AP$110</definedName>
    <definedName name="utskrift2" localSheetId="0">Markedstilpasning!$AD$117:$AS$209</definedName>
    <definedName name="_xlnm.Print_Area" localSheetId="1">Enhetsdiagram!$A$1:$O$55</definedName>
    <definedName name="_xlnm.Print_Area" localSheetId="3">Hjelp!$A$1:$O$199</definedName>
    <definedName name="_xlnm.Print_Area" localSheetId="0">Markedstilpasning!$A$2:$O$23</definedName>
    <definedName name="_xlnm.Print_Area" localSheetId="2">Totaldiagram!$A$1:$O$59</definedName>
    <definedName name="VEK">Markedstilpasning!$E$12</definedName>
    <definedName name="VO">Markedstilpasning!$CD$109</definedName>
    <definedName name="vtk" function="1" xlm="1">Markedstilpasning!$Q$42:$Q$62</definedName>
  </definedName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W42" i="1" l="1"/>
  <c r="W44" i="1"/>
  <c r="M42" i="1"/>
  <c r="M44" i="1"/>
  <c r="W46" i="1"/>
  <c r="M46" i="1"/>
  <c r="W48" i="1"/>
  <c r="M48" i="1"/>
  <c r="W50" i="1"/>
  <c r="M50" i="1"/>
  <c r="W52" i="1"/>
  <c r="M52" i="1"/>
  <c r="W54" i="1"/>
  <c r="M54" i="1"/>
  <c r="W56" i="1"/>
  <c r="M56" i="1"/>
  <c r="W58" i="1"/>
  <c r="M58" i="1"/>
  <c r="W60" i="1"/>
  <c r="M60" i="1"/>
  <c r="W62" i="1"/>
  <c r="M62" i="1"/>
  <c r="N62" i="1"/>
  <c r="N60" i="1"/>
  <c r="O61" i="1"/>
  <c r="C61" i="1"/>
  <c r="B46" i="1"/>
  <c r="B44" i="1"/>
  <c r="L44" i="1"/>
  <c r="A44" i="1"/>
  <c r="D35" i="1"/>
  <c r="L60" i="1"/>
  <c r="A60" i="1"/>
  <c r="B62" i="1"/>
  <c r="B60" i="1"/>
  <c r="G37" i="1"/>
  <c r="L58" i="1"/>
  <c r="A58" i="1"/>
  <c r="B58" i="1"/>
  <c r="F37" i="1"/>
  <c r="L56" i="1"/>
  <c r="A56" i="1"/>
  <c r="B56" i="1"/>
  <c r="E37" i="1"/>
  <c r="L54" i="1"/>
  <c r="A54" i="1"/>
  <c r="B54" i="1"/>
  <c r="D37" i="1"/>
  <c r="L52" i="1"/>
  <c r="A52" i="1"/>
  <c r="B52" i="1"/>
  <c r="C37" i="1"/>
  <c r="L62" i="1"/>
  <c r="A62" i="1"/>
  <c r="G36" i="1"/>
  <c r="F36" i="1"/>
  <c r="E36" i="1"/>
  <c r="D36" i="1"/>
  <c r="C36" i="1"/>
  <c r="L50" i="1"/>
  <c r="A50" i="1"/>
  <c r="B50" i="1"/>
  <c r="G35" i="1"/>
  <c r="L48" i="1"/>
  <c r="A48" i="1"/>
  <c r="B48" i="1"/>
  <c r="F35" i="1"/>
  <c r="L46" i="1"/>
  <c r="A46" i="1"/>
  <c r="E35" i="1"/>
  <c r="L42" i="1"/>
  <c r="A42" i="1"/>
  <c r="C35" i="1"/>
  <c r="G34" i="1"/>
  <c r="F34" i="1"/>
  <c r="E34" i="1"/>
  <c r="D34" i="1"/>
  <c r="C34" i="1"/>
  <c r="N42" i="1"/>
  <c r="Q42" i="1"/>
  <c r="U42" i="1"/>
  <c r="P42" i="1"/>
  <c r="R42" i="1"/>
  <c r="T42" i="1"/>
  <c r="P62" i="1"/>
  <c r="Q62" i="1"/>
  <c r="R62" i="1"/>
  <c r="P60" i="1"/>
  <c r="Q60" i="1"/>
  <c r="R60" i="1"/>
  <c r="P58" i="1"/>
  <c r="P6" i="1"/>
  <c r="P7" i="1"/>
  <c r="P8" i="1"/>
  <c r="P9" i="1"/>
  <c r="P10" i="1"/>
  <c r="P11" i="1"/>
  <c r="P12" i="1"/>
  <c r="P13" i="1"/>
  <c r="P14" i="1"/>
  <c r="Q58" i="1"/>
  <c r="R58" i="1"/>
  <c r="P56" i="1"/>
  <c r="Q56" i="1"/>
  <c r="R56" i="1"/>
  <c r="P54" i="1"/>
  <c r="Q54" i="1"/>
  <c r="R54" i="1"/>
  <c r="P52" i="1"/>
  <c r="Q52" i="1"/>
  <c r="R52" i="1"/>
  <c r="P50" i="1"/>
  <c r="Q50" i="1"/>
  <c r="R50" i="1"/>
  <c r="P48" i="1"/>
  <c r="Q48" i="1"/>
  <c r="R48" i="1"/>
  <c r="P46" i="1"/>
  <c r="Q46" i="1"/>
  <c r="R46" i="1"/>
  <c r="P44" i="1"/>
  <c r="Q44" i="1"/>
  <c r="R44" i="1"/>
  <c r="AU100" i="1"/>
  <c r="AZ100" i="1"/>
  <c r="AU101" i="1"/>
  <c r="AZ101" i="1"/>
  <c r="AU102" i="1"/>
  <c r="AZ102" i="1"/>
  <c r="AU103" i="1"/>
  <c r="AZ103" i="1"/>
  <c r="AU104" i="1"/>
  <c r="AZ104" i="1"/>
  <c r="AU105" i="1"/>
  <c r="AZ105" i="1"/>
  <c r="AU106" i="1"/>
  <c r="AZ106" i="1"/>
  <c r="AU107" i="1"/>
  <c r="AZ107" i="1"/>
  <c r="AU108" i="1"/>
  <c r="AZ108" i="1"/>
  <c r="B42" i="1"/>
  <c r="AV112" i="1"/>
  <c r="BB112" i="1"/>
  <c r="AG208" i="1"/>
  <c r="AM208" i="1"/>
  <c r="AG209" i="1"/>
  <c r="AH209" i="1"/>
  <c r="AM209" i="1"/>
  <c r="AN209" i="1"/>
  <c r="AM202" i="1"/>
  <c r="AN202" i="1"/>
  <c r="AO202" i="1"/>
  <c r="AG204" i="1"/>
  <c r="AM204" i="1"/>
  <c r="AN204" i="1"/>
  <c r="AG205" i="1"/>
  <c r="A27" i="1"/>
  <c r="AH205" i="1"/>
  <c r="AM205" i="1"/>
  <c r="AN205" i="1"/>
  <c r="AG206" i="1"/>
  <c r="AM206" i="1"/>
  <c r="AM207" i="1"/>
  <c r="AN207" i="1"/>
  <c r="AM203" i="1"/>
  <c r="AN203" i="1"/>
  <c r="AG202" i="1"/>
  <c r="A26" i="1"/>
  <c r="AH204" i="1"/>
  <c r="A25" i="1"/>
  <c r="AH203" i="1"/>
  <c r="G30" i="1"/>
  <c r="H30" i="1"/>
  <c r="G28" i="1"/>
  <c r="H28" i="1"/>
  <c r="AO206" i="1"/>
  <c r="H26" i="1"/>
  <c r="AO204" i="1"/>
  <c r="H25" i="1"/>
  <c r="AO203" i="1"/>
  <c r="AS119" i="1"/>
  <c r="AP39" i="1"/>
  <c r="U41" i="1"/>
  <c r="T41" i="1"/>
  <c r="AM41" i="1"/>
  <c r="AS123" i="1"/>
  <c r="D42" i="1"/>
  <c r="BA112" i="1"/>
  <c r="AI122" i="1"/>
  <c r="P15" i="1"/>
  <c r="P16" i="1"/>
  <c r="AS125" i="1"/>
  <c r="AS127" i="1"/>
  <c r="AS129" i="1"/>
  <c r="AS131" i="1"/>
  <c r="AS133" i="1"/>
  <c r="AS135" i="1"/>
  <c r="AS137" i="1"/>
  <c r="AS139" i="1"/>
  <c r="AS141" i="1"/>
  <c r="AZ98" i="1"/>
  <c r="BE98" i="1"/>
  <c r="AH42" i="1"/>
  <c r="AR125" i="1"/>
  <c r="AR127" i="1"/>
  <c r="AR129" i="1"/>
  <c r="AR131" i="1"/>
  <c r="AR133" i="1"/>
  <c r="AR135" i="1"/>
  <c r="AR137" i="1"/>
  <c r="AR139" i="1"/>
  <c r="AR141" i="1"/>
  <c r="AR123" i="1"/>
  <c r="AP123" i="1"/>
  <c r="AQ123" i="1"/>
  <c r="AP125" i="1"/>
  <c r="AQ125" i="1"/>
  <c r="AP127" i="1"/>
  <c r="AQ127" i="1"/>
  <c r="AP129" i="1"/>
  <c r="AQ129" i="1"/>
  <c r="AP131" i="1"/>
  <c r="AQ131" i="1"/>
  <c r="AP133" i="1"/>
  <c r="AQ133" i="1"/>
  <c r="AP135" i="1"/>
  <c r="AQ135" i="1"/>
  <c r="AP137" i="1"/>
  <c r="AQ137" i="1"/>
  <c r="AP139" i="1"/>
  <c r="AQ139" i="1"/>
  <c r="AP141" i="1"/>
  <c r="AQ141" i="1"/>
  <c r="AX126" i="1"/>
  <c r="AV126" i="1"/>
  <c r="AM122" i="1"/>
  <c r="AK122" i="1"/>
  <c r="X42" i="1"/>
  <c r="Y42" i="1"/>
  <c r="AN122" i="1"/>
  <c r="AL122" i="1"/>
  <c r="AJ122" i="1"/>
  <c r="B41" i="1"/>
  <c r="AH121" i="1"/>
  <c r="AG40" i="1"/>
  <c r="AI40" i="1"/>
  <c r="AG41" i="1"/>
  <c r="AI41" i="1"/>
  <c r="Y40" i="1"/>
  <c r="D41" i="1"/>
  <c r="AI121" i="1"/>
  <c r="AU97" i="1"/>
  <c r="AE117" i="1"/>
  <c r="AD37" i="1"/>
  <c r="X40" i="1"/>
  <c r="D15" i="1"/>
  <c r="AG121" i="1"/>
  <c r="C41" i="1"/>
  <c r="O41" i="1"/>
  <c r="N41" i="1"/>
  <c r="BC39" i="1"/>
  <c r="AD40" i="1"/>
  <c r="AK40" i="1"/>
  <c r="AM40" i="1"/>
  <c r="M41" i="1"/>
  <c r="X41" i="1"/>
  <c r="Y41" i="1"/>
  <c r="AD41" i="1"/>
  <c r="AK41" i="1"/>
  <c r="BC41" i="1"/>
  <c r="AD63" i="1"/>
  <c r="AD120" i="1"/>
  <c r="AE120" i="1"/>
  <c r="AI120" i="1"/>
  <c r="AJ120" i="1"/>
  <c r="AL120" i="1"/>
  <c r="AN120" i="1"/>
  <c r="AU124" i="1"/>
  <c r="AW124" i="1"/>
  <c r="AD121" i="1"/>
  <c r="AJ121" i="1"/>
  <c r="AL121" i="1"/>
  <c r="AN121" i="1"/>
  <c r="AU125" i="1"/>
  <c r="AW125" i="1"/>
  <c r="BJ97" i="1"/>
  <c r="BA111" i="1"/>
  <c r="AF121" i="1"/>
  <c r="AE121" i="1"/>
  <c r="A28" i="1"/>
  <c r="AH206" i="1"/>
  <c r="A30" i="1"/>
  <c r="AH208" i="1"/>
  <c r="AN206" i="1"/>
  <c r="AN208" i="1"/>
  <c r="H27" i="1"/>
  <c r="AO205" i="1"/>
  <c r="H29" i="1"/>
  <c r="AG42" i="1"/>
  <c r="E42" i="1"/>
  <c r="F42" i="1"/>
  <c r="AV111" i="1"/>
  <c r="AZ111" i="1"/>
  <c r="BH97" i="1"/>
  <c r="AO207" i="1"/>
  <c r="A29" i="1"/>
  <c r="AH207" i="1"/>
  <c r="AV113" i="1"/>
  <c r="AO208" i="1"/>
  <c r="H31" i="1"/>
  <c r="AO209" i="1"/>
  <c r="X44" i="1"/>
  <c r="Y44" i="1"/>
  <c r="AU98" i="1"/>
  <c r="N44" i="1"/>
  <c r="AX99" i="1"/>
  <c r="E46" i="1"/>
  <c r="AU112" i="1"/>
  <c r="AD122" i="1"/>
  <c r="AD42" i="1"/>
  <c r="BJ98" i="1"/>
  <c r="F44" i="1"/>
  <c r="AX113" i="1"/>
  <c r="AJ124" i="1"/>
  <c r="I42" i="1"/>
  <c r="J42" i="1"/>
  <c r="AX101" i="1"/>
  <c r="AI48" i="1"/>
  <c r="E48" i="1"/>
  <c r="E52" i="1"/>
  <c r="E50" i="1"/>
  <c r="AX102" i="1"/>
  <c r="F48" i="1"/>
  <c r="AX115" i="1"/>
  <c r="AJ128" i="1"/>
  <c r="AG50" i="1"/>
  <c r="AD50" i="1"/>
  <c r="BE102" i="1"/>
  <c r="AH50" i="1"/>
  <c r="AU116" i="1"/>
  <c r="AD130" i="1"/>
  <c r="E54" i="1"/>
  <c r="F54" i="1"/>
  <c r="AX118" i="1"/>
  <c r="AJ134" i="1"/>
  <c r="F50" i="1"/>
  <c r="AX116" i="1"/>
  <c r="AJ130" i="1"/>
  <c r="AX100" i="1"/>
  <c r="F46" i="1"/>
  <c r="AX114" i="1"/>
  <c r="AJ126" i="1"/>
  <c r="AV114" i="1"/>
  <c r="U44" i="1"/>
  <c r="AU99" i="1"/>
  <c r="Z44" i="1"/>
  <c r="BH98" i="1"/>
  <c r="BI98" i="1"/>
  <c r="BA98" i="1"/>
  <c r="AF42" i="1"/>
  <c r="AP122" i="1"/>
  <c r="G48" i="1"/>
  <c r="AW115" i="1"/>
  <c r="AL128" i="1"/>
  <c r="AX98" i="1"/>
  <c r="AF122" i="1"/>
  <c r="AE122" i="1"/>
  <c r="E44" i="1"/>
  <c r="G44" i="1"/>
  <c r="AW113" i="1"/>
  <c r="AL124" i="1"/>
  <c r="S43" i="1"/>
  <c r="H43" i="1"/>
  <c r="S47" i="1"/>
  <c r="H47" i="1"/>
  <c r="AW126" i="1"/>
  <c r="AU126" i="1"/>
  <c r="AX104" i="1"/>
  <c r="AI54" i="1"/>
  <c r="AI50" i="1"/>
  <c r="BC102" i="1"/>
  <c r="AW102" i="1"/>
  <c r="D44" i="1"/>
  <c r="J44" i="1"/>
  <c r="BI113" i="1"/>
  <c r="G42" i="1"/>
  <c r="N46" i="1"/>
  <c r="BD116" i="1"/>
  <c r="AK130" i="1"/>
  <c r="G50" i="1"/>
  <c r="AW116" i="1"/>
  <c r="AL130" i="1"/>
  <c r="AI44" i="1"/>
  <c r="BH99" i="1"/>
  <c r="X46" i="1"/>
  <c r="AU113" i="1"/>
  <c r="AZ99" i="1"/>
  <c r="AI46" i="1"/>
  <c r="BC100" i="1"/>
  <c r="AJ46" i="1"/>
  <c r="BC99" i="1"/>
  <c r="AJ44" i="1"/>
  <c r="AD44" i="1"/>
  <c r="G46" i="1"/>
  <c r="AW114" i="1"/>
  <c r="AL126" i="1"/>
  <c r="BB113" i="1"/>
  <c r="AF124" i="1"/>
  <c r="BB102" i="1"/>
  <c r="AL50" i="1"/>
  <c r="AJ50" i="1"/>
  <c r="BE99" i="1"/>
  <c r="BB99" i="1"/>
  <c r="BC113" i="1"/>
  <c r="AM124" i="1"/>
  <c r="AL44" i="1"/>
  <c r="AW98" i="1"/>
  <c r="AI42" i="1"/>
  <c r="BC98" i="1"/>
  <c r="T44" i="1"/>
  <c r="I44" i="1"/>
  <c r="BG113" i="1"/>
  <c r="Z42" i="1"/>
  <c r="O43" i="1"/>
  <c r="C43" i="1"/>
  <c r="AV98" i="1"/>
  <c r="AK50" i="1"/>
  <c r="AW100" i="1"/>
  <c r="AY115" i="1"/>
  <c r="U46" i="1"/>
  <c r="T46" i="1"/>
  <c r="I46" i="1"/>
  <c r="BG114" i="1"/>
  <c r="BA113" i="1"/>
  <c r="D46" i="1"/>
  <c r="BE100" i="1"/>
  <c r="BB100" i="1"/>
  <c r="BE115" i="1"/>
  <c r="BC116" i="1"/>
  <c r="AM130" i="1"/>
  <c r="S45" i="1"/>
  <c r="H45" i="1"/>
  <c r="S49" i="1"/>
  <c r="H49" i="1"/>
  <c r="O45" i="1"/>
  <c r="C45" i="1"/>
  <c r="BI99" i="1"/>
  <c r="BA99" i="1"/>
  <c r="AV99" i="1"/>
  <c r="AE44" i="1"/>
  <c r="AX103" i="1"/>
  <c r="F52" i="1"/>
  <c r="AX117" i="1"/>
  <c r="AJ132" i="1"/>
  <c r="E56" i="1"/>
  <c r="X48" i="1"/>
  <c r="Y46" i="1"/>
  <c r="Z46" i="1"/>
  <c r="AW99" i="1"/>
  <c r="AK44" i="1"/>
  <c r="AQ124" i="1"/>
  <c r="AV115" i="1"/>
  <c r="N48" i="1"/>
  <c r="AU115" i="1"/>
  <c r="AD48" i="1"/>
  <c r="BE101" i="1"/>
  <c r="BC101" i="1"/>
  <c r="AJ48" i="1"/>
  <c r="BH101" i="1"/>
  <c r="AZ114" i="1"/>
  <c r="S51" i="1"/>
  <c r="H51" i="1"/>
  <c r="G52" i="1"/>
  <c r="AW117" i="1"/>
  <c r="AL132" i="1"/>
  <c r="S53" i="1"/>
  <c r="H53" i="1"/>
  <c r="G54" i="1"/>
  <c r="AW118" i="1"/>
  <c r="AL134" i="1"/>
  <c r="AD46" i="1"/>
  <c r="AL46" i="1"/>
  <c r="AK46" i="1"/>
  <c r="AQ126" i="1"/>
  <c r="BH100" i="1"/>
  <c r="AU114" i="1"/>
  <c r="AZ113" i="1"/>
  <c r="AD124" i="1"/>
  <c r="BD113" i="1"/>
  <c r="AK124" i="1"/>
  <c r="J46" i="1"/>
  <c r="BI114" i="1"/>
  <c r="AG44" i="1"/>
  <c r="AU128" i="1"/>
  <c r="BB114" i="1"/>
  <c r="AF126" i="1"/>
  <c r="BB101" i="1"/>
  <c r="AL48" i="1"/>
  <c r="AH48" i="1"/>
  <c r="BE114" i="1"/>
  <c r="BB98" i="1"/>
  <c r="BD98" i="1"/>
  <c r="AN42" i="1"/>
  <c r="AJ42" i="1"/>
  <c r="BI100" i="1"/>
  <c r="BA100" i="1"/>
  <c r="BG100" i="1"/>
  <c r="BJ114" i="1"/>
  <c r="AX130" i="1"/>
  <c r="AP46" i="1"/>
  <c r="AF46" i="1"/>
  <c r="AV100" i="1"/>
  <c r="AE46" i="1"/>
  <c r="AP126" i="1"/>
  <c r="AB42" i="1"/>
  <c r="AF44" i="1"/>
  <c r="AP124" i="1"/>
  <c r="BF113" i="1"/>
  <c r="AK42" i="1"/>
  <c r="AY113" i="1"/>
  <c r="AY98" i="1"/>
  <c r="AE42" i="1"/>
  <c r="AG123" i="1"/>
  <c r="BF98" i="1"/>
  <c r="AO42" i="1"/>
  <c r="BG98" i="1"/>
  <c r="AP42" i="1"/>
  <c r="U48" i="1"/>
  <c r="J48" i="1"/>
  <c r="BI115" i="1"/>
  <c r="T48" i="1"/>
  <c r="I48" i="1"/>
  <c r="BG115" i="1"/>
  <c r="AY100" i="1"/>
  <c r="AM46" i="1"/>
  <c r="AI124" i="1"/>
  <c r="BJ99" i="1"/>
  <c r="AQ130" i="1"/>
  <c r="BA114" i="1"/>
  <c r="D48" i="1"/>
  <c r="O47" i="1"/>
  <c r="C47" i="1"/>
  <c r="AU117" i="1"/>
  <c r="BE103" i="1"/>
  <c r="AH52" i="1"/>
  <c r="AD52" i="1"/>
  <c r="N50" i="1"/>
  <c r="AV116" i="1"/>
  <c r="E58" i="1"/>
  <c r="BF99" i="1"/>
  <c r="AO44" i="1"/>
  <c r="BE104" i="1"/>
  <c r="AH54" i="1"/>
  <c r="AU118" i="1"/>
  <c r="AD54" i="1"/>
  <c r="BC104" i="1"/>
  <c r="AJ54" i="1"/>
  <c r="AV101" i="1"/>
  <c r="AE48" i="1"/>
  <c r="BI101" i="1"/>
  <c r="AW101" i="1"/>
  <c r="AG48" i="1"/>
  <c r="BB115" i="1"/>
  <c r="AF128" i="1"/>
  <c r="AD128" i="1"/>
  <c r="BD115" i="1"/>
  <c r="AK128" i="1"/>
  <c r="BC115" i="1"/>
  <c r="AM128" i="1"/>
  <c r="Y48" i="1"/>
  <c r="Z48" i="1"/>
  <c r="X50" i="1"/>
  <c r="AX105" i="1"/>
  <c r="F56" i="1"/>
  <c r="AX119" i="1"/>
  <c r="AJ136" i="1"/>
  <c r="BC103" i="1"/>
  <c r="AJ52" i="1"/>
  <c r="AI52" i="1"/>
  <c r="BG99" i="1"/>
  <c r="S55" i="1"/>
  <c r="H55" i="1"/>
  <c r="G56" i="1"/>
  <c r="AW119" i="1"/>
  <c r="AL136" i="1"/>
  <c r="AH44" i="1"/>
  <c r="BD99" i="1"/>
  <c r="AE124" i="1"/>
  <c r="AW128" i="1"/>
  <c r="BC114" i="1"/>
  <c r="AM126" i="1"/>
  <c r="BD114" i="1"/>
  <c r="AK126" i="1"/>
  <c r="AD126" i="1"/>
  <c r="AH46" i="1"/>
  <c r="AY99" i="1"/>
  <c r="CD99" i="1"/>
  <c r="CE99" i="1"/>
  <c r="AG46" i="1"/>
  <c r="AO129" i="1"/>
  <c r="AL42" i="1"/>
  <c r="AO123" i="1"/>
  <c r="BE113" i="1"/>
  <c r="AH125" i="1"/>
  <c r="BH113" i="1"/>
  <c r="AV128" i="1"/>
  <c r="AN44" i="1"/>
  <c r="BJ113" i="1"/>
  <c r="AX128" i="1"/>
  <c r="AP44" i="1"/>
  <c r="BD100" i="1"/>
  <c r="BH114" i="1"/>
  <c r="AV130" i="1"/>
  <c r="AN46" i="1"/>
  <c r="AS126" i="1"/>
  <c r="AH123" i="1"/>
  <c r="AR126" i="1"/>
  <c r="AN123" i="1"/>
  <c r="CD98" i="1"/>
  <c r="CE98" i="1"/>
  <c r="AM42" i="1"/>
  <c r="AR122" i="1"/>
  <c r="AK48" i="1"/>
  <c r="AY114" i="1"/>
  <c r="AM44" i="1"/>
  <c r="AR124" i="1"/>
  <c r="BA101" i="1"/>
  <c r="AF48" i="1"/>
  <c r="BF114" i="1"/>
  <c r="U50" i="1"/>
  <c r="J50" i="1"/>
  <c r="BI116" i="1"/>
  <c r="AW134" i="1"/>
  <c r="T50" i="1"/>
  <c r="I50" i="1"/>
  <c r="BG116" i="1"/>
  <c r="AU134" i="1"/>
  <c r="AI126" i="1"/>
  <c r="BJ100" i="1"/>
  <c r="BH102" i="1"/>
  <c r="AZ115" i="1"/>
  <c r="BB116" i="1"/>
  <c r="AF130" i="1"/>
  <c r="AE130" i="1"/>
  <c r="BA115" i="1"/>
  <c r="D50" i="1"/>
  <c r="O49" i="1"/>
  <c r="C49" i="1"/>
  <c r="BC105" i="1"/>
  <c r="AJ56" i="1"/>
  <c r="AI56" i="1"/>
  <c r="E60" i="1"/>
  <c r="S57" i="1"/>
  <c r="H57" i="1"/>
  <c r="AV102" i="1"/>
  <c r="AE50" i="1"/>
  <c r="AD132" i="1"/>
  <c r="BD117" i="1"/>
  <c r="AK132" i="1"/>
  <c r="Y50" i="1"/>
  <c r="Z50" i="1"/>
  <c r="X52" i="1"/>
  <c r="AO127" i="1"/>
  <c r="AG127" i="1"/>
  <c r="AU132" i="1"/>
  <c r="AN127" i="1"/>
  <c r="AW132" i="1"/>
  <c r="AE128" i="1"/>
  <c r="AH127" i="1"/>
  <c r="BG101" i="1"/>
  <c r="AD134" i="1"/>
  <c r="BD118" i="1"/>
  <c r="AK134" i="1"/>
  <c r="AV117" i="1"/>
  <c r="BH103" i="1"/>
  <c r="AZ116" i="1"/>
  <c r="N52" i="1"/>
  <c r="AW103" i="1"/>
  <c r="AG52" i="1"/>
  <c r="BB104" i="1"/>
  <c r="BB103" i="1"/>
  <c r="AU119" i="1"/>
  <c r="AD56" i="1"/>
  <c r="BE105" i="1"/>
  <c r="BF101" i="1"/>
  <c r="AO48" i="1"/>
  <c r="AY101" i="1"/>
  <c r="AG54" i="1"/>
  <c r="AW104" i="1"/>
  <c r="F58" i="1"/>
  <c r="AX120" i="1"/>
  <c r="AJ138" i="1"/>
  <c r="AX106" i="1"/>
  <c r="BI102" i="1"/>
  <c r="BF100" i="1"/>
  <c r="AO46" i="1"/>
  <c r="CD100" i="1"/>
  <c r="CE100" i="1"/>
  <c r="AG125" i="1"/>
  <c r="AO125" i="1"/>
  <c r="AW130" i="1"/>
  <c r="AU130" i="1"/>
  <c r="AE126" i="1"/>
  <c r="AN125" i="1"/>
  <c r="AS124" i="1"/>
  <c r="AS122" i="1"/>
  <c r="AQ122" i="1"/>
  <c r="BB105" i="1"/>
  <c r="AL56" i="1"/>
  <c r="AH56" i="1"/>
  <c r="BE117" i="1"/>
  <c r="AL54" i="1"/>
  <c r="AL52" i="1"/>
  <c r="AO133" i="1"/>
  <c r="BE116" i="1"/>
  <c r="BD101" i="1"/>
  <c r="BH115" i="1"/>
  <c r="AV132" i="1"/>
  <c r="BJ115" i="1"/>
  <c r="AX132" i="1"/>
  <c r="AP48" i="1"/>
  <c r="AP128" i="1"/>
  <c r="BC117" i="1"/>
  <c r="AM132" i="1"/>
  <c r="BB117" i="1"/>
  <c r="AF132" i="1"/>
  <c r="CD101" i="1"/>
  <c r="CE101" i="1"/>
  <c r="AM48" i="1"/>
  <c r="AK52" i="1"/>
  <c r="AY116" i="1"/>
  <c r="AG129" i="1"/>
  <c r="BA116" i="1"/>
  <c r="D52" i="1"/>
  <c r="AN129" i="1"/>
  <c r="AQ128" i="1"/>
  <c r="BC118" i="1"/>
  <c r="AM134" i="1"/>
  <c r="AK54" i="1"/>
  <c r="AY117" i="1"/>
  <c r="T52" i="1"/>
  <c r="I52" i="1"/>
  <c r="BG117" i="1"/>
  <c r="AU136" i="1"/>
  <c r="U52" i="1"/>
  <c r="J52" i="1"/>
  <c r="BI117" i="1"/>
  <c r="AW136" i="1"/>
  <c r="BA102" i="1"/>
  <c r="BF115" i="1"/>
  <c r="AI128" i="1"/>
  <c r="BJ101" i="1"/>
  <c r="O51" i="1"/>
  <c r="C51" i="1"/>
  <c r="AV103" i="1"/>
  <c r="AE52" i="1"/>
  <c r="BI103" i="1"/>
  <c r="AV118" i="1"/>
  <c r="AE134" i="1"/>
  <c r="BF102" i="1"/>
  <c r="AO50" i="1"/>
  <c r="AY102" i="1"/>
  <c r="F60" i="1"/>
  <c r="AX121" i="1"/>
  <c r="AX107" i="1"/>
  <c r="BC106" i="1"/>
  <c r="AJ58" i="1"/>
  <c r="AI58" i="1"/>
  <c r="BE106" i="1"/>
  <c r="AH58" i="1"/>
  <c r="AU120" i="1"/>
  <c r="AD58" i="1"/>
  <c r="E62" i="1"/>
  <c r="AW105" i="1"/>
  <c r="AG56" i="1"/>
  <c r="BD119" i="1"/>
  <c r="AK136" i="1"/>
  <c r="AD136" i="1"/>
  <c r="N54" i="1"/>
  <c r="Y52" i="1"/>
  <c r="Z52" i="1"/>
  <c r="X54" i="1"/>
  <c r="AE132" i="1"/>
  <c r="AG131" i="1"/>
  <c r="AO131" i="1"/>
  <c r="AN131" i="1"/>
  <c r="S59" i="1"/>
  <c r="H59" i="1"/>
  <c r="G60" i="1"/>
  <c r="AW121" i="1"/>
  <c r="G58" i="1"/>
  <c r="AW120" i="1"/>
  <c r="AL138" i="1"/>
  <c r="AQ134" i="1"/>
  <c r="AQ132" i="1"/>
  <c r="BC119" i="1"/>
  <c r="AM136" i="1"/>
  <c r="BE118" i="1"/>
  <c r="AN48" i="1"/>
  <c r="AS128" i="1"/>
  <c r="BG102" i="1"/>
  <c r="AF50" i="1"/>
  <c r="BD102" i="1"/>
  <c r="U54" i="1"/>
  <c r="J54" i="1"/>
  <c r="BI118" i="1"/>
  <c r="AW138" i="1"/>
  <c r="T54" i="1"/>
  <c r="I54" i="1"/>
  <c r="BG118" i="1"/>
  <c r="AU138" i="1"/>
  <c r="BH104" i="1"/>
  <c r="AZ117" i="1"/>
  <c r="BB118" i="1"/>
  <c r="AF134" i="1"/>
  <c r="BA103" i="1"/>
  <c r="AF52" i="1"/>
  <c r="AH131" i="1"/>
  <c r="BF116" i="1"/>
  <c r="AI130" i="1"/>
  <c r="BJ102" i="1"/>
  <c r="AN133" i="1"/>
  <c r="AK56" i="1"/>
  <c r="AQ136" i="1"/>
  <c r="AY118" i="1"/>
  <c r="CD102" i="1"/>
  <c r="CE102" i="1"/>
  <c r="AM50" i="1"/>
  <c r="BA117" i="1"/>
  <c r="D54" i="1"/>
  <c r="O53" i="1"/>
  <c r="C53" i="1"/>
  <c r="Y54" i="1"/>
  <c r="Z54" i="1"/>
  <c r="X56" i="1"/>
  <c r="AV119" i="1"/>
  <c r="AE136" i="1"/>
  <c r="N56" i="1"/>
  <c r="AL140" i="1"/>
  <c r="AL142" i="1"/>
  <c r="AU121" i="1"/>
  <c r="AD60" i="1"/>
  <c r="BE107" i="1"/>
  <c r="AH60" i="1"/>
  <c r="AO135" i="1"/>
  <c r="BC107" i="1"/>
  <c r="AJ60" i="1"/>
  <c r="AI60" i="1"/>
  <c r="BD103" i="1"/>
  <c r="BB106" i="1"/>
  <c r="AV104" i="1"/>
  <c r="AE54" i="1"/>
  <c r="BI104" i="1"/>
  <c r="F62" i="1"/>
  <c r="AX122" i="1"/>
  <c r="AX108" i="1"/>
  <c r="S61" i="1"/>
  <c r="H61" i="1"/>
  <c r="BD120" i="1"/>
  <c r="AK138" i="1"/>
  <c r="AD138" i="1"/>
  <c r="AW106" i="1"/>
  <c r="AG58" i="1"/>
  <c r="AJ142" i="1"/>
  <c r="AJ140" i="1"/>
  <c r="AY103" i="1"/>
  <c r="BF103" i="1"/>
  <c r="AO52" i="1"/>
  <c r="AR128" i="1"/>
  <c r="BE119" i="1"/>
  <c r="AL58" i="1"/>
  <c r="AO137" i="1"/>
  <c r="BC120" i="1"/>
  <c r="AM138" i="1"/>
  <c r="BG103" i="1"/>
  <c r="BJ117" i="1"/>
  <c r="AX136" i="1"/>
  <c r="BJ116" i="1"/>
  <c r="AX134" i="1"/>
  <c r="AP50" i="1"/>
  <c r="AP132" i="1"/>
  <c r="BH117" i="1"/>
  <c r="AV136" i="1"/>
  <c r="AN52" i="1"/>
  <c r="BH116" i="1"/>
  <c r="AV134" i="1"/>
  <c r="AN50" i="1"/>
  <c r="AS130" i="1"/>
  <c r="AH129" i="1"/>
  <c r="AP130" i="1"/>
  <c r="AN135" i="1"/>
  <c r="BA104" i="1"/>
  <c r="AF54" i="1"/>
  <c r="AH133" i="1"/>
  <c r="BF117" i="1"/>
  <c r="AI132" i="1"/>
  <c r="BJ103" i="1"/>
  <c r="CD103" i="1"/>
  <c r="CE103" i="1"/>
  <c r="AM52" i="1"/>
  <c r="AK58" i="1"/>
  <c r="AY119" i="1"/>
  <c r="AG133" i="1"/>
  <c r="T56" i="1"/>
  <c r="I56" i="1"/>
  <c r="BG119" i="1"/>
  <c r="AU140" i="1"/>
  <c r="U56" i="1"/>
  <c r="J56" i="1"/>
  <c r="BI119" i="1"/>
  <c r="AW140" i="1"/>
  <c r="BA118" i="1"/>
  <c r="D56" i="1"/>
  <c r="BH105" i="1"/>
  <c r="AZ118" i="1"/>
  <c r="BB119" i="1"/>
  <c r="AF136" i="1"/>
  <c r="O55" i="1"/>
  <c r="C55" i="1"/>
  <c r="BB107" i="1"/>
  <c r="AN137" i="1"/>
  <c r="AU122" i="1"/>
  <c r="AD62" i="1"/>
  <c r="BE108" i="1"/>
  <c r="AH62" i="1"/>
  <c r="BF104" i="1"/>
  <c r="AO54" i="1"/>
  <c r="AY104" i="1"/>
  <c r="BD121" i="1"/>
  <c r="AK140" i="1"/>
  <c r="AD140" i="1"/>
  <c r="Y56" i="1"/>
  <c r="Z56" i="1"/>
  <c r="X58" i="1"/>
  <c r="AI62" i="1"/>
  <c r="BC108" i="1"/>
  <c r="AJ62" i="1"/>
  <c r="AG60" i="1"/>
  <c r="AW107" i="1"/>
  <c r="AV120" i="1"/>
  <c r="N58" i="1"/>
  <c r="AV105" i="1"/>
  <c r="AE56" i="1"/>
  <c r="G62" i="1"/>
  <c r="AW122" i="1"/>
  <c r="BI105" i="1"/>
  <c r="AS132" i="1"/>
  <c r="AP134" i="1"/>
  <c r="BD104" i="1"/>
  <c r="BH118" i="1"/>
  <c r="AV138" i="1"/>
  <c r="AP52" i="1"/>
  <c r="BE120" i="1"/>
  <c r="AL60" i="1"/>
  <c r="AO139" i="1"/>
  <c r="AQ138" i="1"/>
  <c r="BG104" i="1"/>
  <c r="AP54" i="1"/>
  <c r="AR132" i="1"/>
  <c r="BJ118" i="1"/>
  <c r="AX138" i="1"/>
  <c r="AR130" i="1"/>
  <c r="BC121" i="1"/>
  <c r="AM140" i="1"/>
  <c r="BA105" i="1"/>
  <c r="BD105" i="1"/>
  <c r="BF118" i="1"/>
  <c r="BH106" i="1"/>
  <c r="AZ119" i="1"/>
  <c r="BB120" i="1"/>
  <c r="AF138" i="1"/>
  <c r="BA119" i="1"/>
  <c r="D58" i="1"/>
  <c r="AG135" i="1"/>
  <c r="T58" i="1"/>
  <c r="I58" i="1"/>
  <c r="BG120" i="1"/>
  <c r="AU142" i="1"/>
  <c r="U58" i="1"/>
  <c r="J58" i="1"/>
  <c r="BI120" i="1"/>
  <c r="AW142" i="1"/>
  <c r="AI134" i="1"/>
  <c r="BJ104" i="1"/>
  <c r="AE138" i="1"/>
  <c r="AK60" i="1"/>
  <c r="AY120" i="1"/>
  <c r="CD104" i="1"/>
  <c r="CE104" i="1"/>
  <c r="AM54" i="1"/>
  <c r="O57" i="1"/>
  <c r="C57" i="1"/>
  <c r="BD122" i="1"/>
  <c r="AK142" i="1"/>
  <c r="AD142" i="1"/>
  <c r="BF105" i="1"/>
  <c r="AO56" i="1"/>
  <c r="AY105" i="1"/>
  <c r="Y58" i="1"/>
  <c r="Z58" i="1"/>
  <c r="X60" i="1"/>
  <c r="AG62" i="1"/>
  <c r="AW108" i="1"/>
  <c r="BB108" i="1"/>
  <c r="AV121" i="1"/>
  <c r="AN139" i="1"/>
  <c r="AE140" i="1"/>
  <c r="AV106" i="1"/>
  <c r="AE58" i="1"/>
  <c r="AN54" i="1"/>
  <c r="AS134" i="1"/>
  <c r="AQ140" i="1"/>
  <c r="BE121" i="1"/>
  <c r="AL62" i="1"/>
  <c r="AO141" i="1"/>
  <c r="AR134" i="1"/>
  <c r="BH119" i="1"/>
  <c r="AV140" i="1"/>
  <c r="AN56" i="1"/>
  <c r="BG105" i="1"/>
  <c r="AF56" i="1"/>
  <c r="BI106" i="1"/>
  <c r="BA106" i="1"/>
  <c r="U60" i="1"/>
  <c r="J60" i="1"/>
  <c r="BI121" i="1"/>
  <c r="AW144" i="1"/>
  <c r="T60" i="1"/>
  <c r="I60" i="1"/>
  <c r="BG121" i="1"/>
  <c r="AU144" i="1"/>
  <c r="BA120" i="1"/>
  <c r="D60" i="1"/>
  <c r="BH107" i="1"/>
  <c r="AZ120" i="1"/>
  <c r="BB121" i="1"/>
  <c r="AF140" i="1"/>
  <c r="AK62" i="1"/>
  <c r="AY121" i="1"/>
  <c r="CD105" i="1"/>
  <c r="CE105" i="1"/>
  <c r="AM56" i="1"/>
  <c r="AR136" i="1"/>
  <c r="AG137" i="1"/>
  <c r="AI136" i="1"/>
  <c r="BJ105" i="1"/>
  <c r="BC122" i="1"/>
  <c r="AM142" i="1"/>
  <c r="O59" i="1"/>
  <c r="C59" i="1"/>
  <c r="AV122" i="1"/>
  <c r="AV107" i="1"/>
  <c r="AE60" i="1"/>
  <c r="Y60" i="1"/>
  <c r="Z60" i="1"/>
  <c r="X62" i="1"/>
  <c r="Y62" i="1"/>
  <c r="BF106" i="1"/>
  <c r="AO58" i="1"/>
  <c r="AY106" i="1"/>
  <c r="AR121" i="1"/>
  <c r="AS121" i="1"/>
  <c r="AN141" i="1"/>
  <c r="AE142" i="1"/>
  <c r="AU146" i="1"/>
  <c r="AQ142" i="1"/>
  <c r="AS136" i="1"/>
  <c r="BF119" i="1"/>
  <c r="BG106" i="1"/>
  <c r="AF58" i="1"/>
  <c r="BD106" i="1"/>
  <c r="BJ119" i="1"/>
  <c r="AX140" i="1"/>
  <c r="AP56" i="1"/>
  <c r="AH135" i="1"/>
  <c r="AP136" i="1"/>
  <c r="AW146" i="1"/>
  <c r="BI107" i="1"/>
  <c r="BA107" i="1"/>
  <c r="AF60" i="1"/>
  <c r="AH139" i="1"/>
  <c r="BA121" i="1"/>
  <c r="D62" i="1"/>
  <c r="BA122" i="1"/>
  <c r="BJ108" i="1"/>
  <c r="CD106" i="1"/>
  <c r="CE106" i="1"/>
  <c r="AM58" i="1"/>
  <c r="AG139" i="1"/>
  <c r="U62" i="1"/>
  <c r="J62" i="1"/>
  <c r="BI122" i="1"/>
  <c r="T62" i="1"/>
  <c r="I62" i="1"/>
  <c r="BG122" i="1"/>
  <c r="AI138" i="1"/>
  <c r="BJ106" i="1"/>
  <c r="BH108" i="1"/>
  <c r="AZ121" i="1"/>
  <c r="BB122" i="1"/>
  <c r="AF142" i="1"/>
  <c r="Z62" i="1"/>
  <c r="AY107" i="1"/>
  <c r="BF107" i="1"/>
  <c r="AO60" i="1"/>
  <c r="AV108" i="1"/>
  <c r="AE62" i="1"/>
  <c r="BH120" i="1"/>
  <c r="AV142" i="1"/>
  <c r="AN58" i="1"/>
  <c r="AS138" i="1"/>
  <c r="BJ120" i="1"/>
  <c r="AX142" i="1"/>
  <c r="AP58" i="1"/>
  <c r="AH137" i="1"/>
  <c r="AP138" i="1"/>
  <c r="AP140" i="1"/>
  <c r="AR138" i="1"/>
  <c r="BF120" i="1"/>
  <c r="BD107" i="1"/>
  <c r="BG107" i="1"/>
  <c r="BI108" i="1"/>
  <c r="BA108" i="1"/>
  <c r="AF62" i="1"/>
  <c r="AP142" i="1"/>
  <c r="AG141" i="1"/>
  <c r="CD107" i="1"/>
  <c r="CE107" i="1"/>
  <c r="AM60" i="1"/>
  <c r="BJ107" i="1"/>
  <c r="AI142" i="1"/>
  <c r="AI140" i="1"/>
  <c r="BF108" i="1"/>
  <c r="AO62" i="1"/>
  <c r="AY108" i="1"/>
  <c r="BF121" i="1"/>
  <c r="BJ121" i="1"/>
  <c r="AX144" i="1"/>
  <c r="AP60" i="1"/>
  <c r="AQ120" i="1"/>
  <c r="AH141" i="1"/>
  <c r="AP120" i="1"/>
  <c r="AR120" i="1"/>
  <c r="BH121" i="1"/>
  <c r="AV144" i="1"/>
  <c r="AN60" i="1"/>
  <c r="AS140" i="1"/>
  <c r="BD108" i="1"/>
  <c r="BG108" i="1"/>
  <c r="CD108" i="1"/>
  <c r="CE108" i="1"/>
  <c r="CE109" i="1"/>
  <c r="CD110" i="1"/>
  <c r="AM62" i="1"/>
  <c r="AR140" i="1"/>
  <c r="BJ122" i="1"/>
  <c r="AX146" i="1"/>
  <c r="AP62" i="1"/>
  <c r="BH122" i="1"/>
  <c r="AV146" i="1"/>
  <c r="AN62" i="1"/>
  <c r="AS142" i="1"/>
  <c r="CD109" i="1"/>
  <c r="AR142" i="1"/>
</calcChain>
</file>

<file path=xl/comments1.xml><?xml version="1.0" encoding="utf-8"?>
<comments xmlns="http://schemas.openxmlformats.org/spreadsheetml/2006/main">
  <authors>
    <author>Johs Totland</author>
  </authors>
  <commentList>
    <comment ref="Q4" authorId="0">
      <text>
        <r>
          <rPr>
            <sz val="9"/>
            <color indexed="81"/>
            <rFont val="Calibri"/>
            <family val="2"/>
            <scheme val="minor"/>
          </rPr>
          <t>Har du oppgitt totale kost--nader (STK) i oppgaven må du huske å trekke fra faste totale kostnader (VTK=STK-FTK)</t>
        </r>
      </text>
    </comment>
    <comment ref="D12" authorId="0">
      <text>
        <r>
          <rPr>
            <sz val="9"/>
            <color indexed="81"/>
            <rFont val="Calibri"/>
            <family val="2"/>
            <scheme val="minor"/>
          </rPr>
          <t>Dersom de variable enhetskostnadene er ullike bruker du tabellen til høyre</t>
        </r>
      </text>
    </comment>
    <comment ref="B14" authorId="0">
      <text>
        <r>
          <rPr>
            <sz val="8"/>
            <color indexed="81"/>
            <rFont val="Tahoma"/>
            <family val="2"/>
          </rPr>
          <t>Navn kan være Utlandet, Danmark, Tilleggsordre osv</t>
        </r>
      </text>
    </comment>
    <comment ref="F25" authorId="0">
      <text>
        <r>
          <rPr>
            <sz val="9"/>
            <color indexed="81"/>
            <rFont val="Calibri"/>
            <family val="2"/>
          </rPr>
          <t>Pris (kr/enh) finner du på kr-aksen</t>
        </r>
      </text>
    </comment>
    <comment ref="G25" authorId="0">
      <text>
        <r>
          <rPr>
            <sz val="9"/>
            <color indexed="81"/>
            <rFont val="Calibri"/>
            <family val="2"/>
            <scheme val="minor"/>
          </rPr>
          <t>Mengden finner du på mengde-aksen. Dersom mengden er et tall du har i tabellen, bruk tallene derfra. Det blir mer nøyaktig</t>
        </r>
      </text>
    </comment>
  </commentList>
</comments>
</file>

<file path=xl/sharedStrings.xml><?xml version="1.0" encoding="utf-8"?>
<sst xmlns="http://schemas.openxmlformats.org/spreadsheetml/2006/main" count="193" uniqueCount="152">
  <si>
    <t>Markedstilpasning</t>
  </si>
  <si>
    <t>Navn/oppgavenummer</t>
  </si>
  <si>
    <t>Navnet på hovedmarkedet</t>
  </si>
  <si>
    <t>Minste mengde i tabellen</t>
  </si>
  <si>
    <t>Variable</t>
  </si>
  <si>
    <t>Største mengde i tabellen</t>
  </si>
  <si>
    <t>Mengde</t>
  </si>
  <si>
    <t>Mengdeintervall i tabellen</t>
  </si>
  <si>
    <t>Pris ved minste mengde</t>
  </si>
  <si>
    <t>Prisnedgang per mengdeintervall</t>
  </si>
  <si>
    <t xml:space="preserve">Navn marked 2 </t>
  </si>
  <si>
    <t xml:space="preserve">Pris </t>
  </si>
  <si>
    <t>TABELL FOR BEREGNING AV TOTALE INNTEKTER OG KOSTNADER</t>
  </si>
  <si>
    <t>Pris</t>
  </si>
  <si>
    <t>Inntekt</t>
  </si>
  <si>
    <t>Diff. innt.</t>
  </si>
  <si>
    <t>Sum</t>
  </si>
  <si>
    <t>Sum var.</t>
  </si>
  <si>
    <t xml:space="preserve">Sum </t>
  </si>
  <si>
    <t>Diff.</t>
  </si>
  <si>
    <t>inntekt</t>
  </si>
  <si>
    <t>kostn.</t>
  </si>
  <si>
    <t>Resultat</t>
  </si>
  <si>
    <t>bidrag</t>
  </si>
  <si>
    <t>TABELL FOR BEREGNING AV PRIS OG KOSTNADER PER ENHET</t>
  </si>
  <si>
    <t>DEI</t>
  </si>
  <si>
    <t>Pris=DEI</t>
  </si>
  <si>
    <t>Diff.enh.</t>
  </si>
  <si>
    <t>DB</t>
  </si>
  <si>
    <t>enh.kostn.</t>
  </si>
  <si>
    <t>per enh.</t>
  </si>
  <si>
    <t>enh.kostn</t>
  </si>
  <si>
    <t>Hjelpe-</t>
  </si>
  <si>
    <t>kolonne</t>
  </si>
  <si>
    <t>HJELPETABELL GRAF TOTALDIAGRAM</t>
  </si>
  <si>
    <t>HJELPETABELL GRAF ENHETSDIAGRAM</t>
  </si>
  <si>
    <t>Sum enh. kostn</t>
  </si>
  <si>
    <t xml:space="preserve">Sum faste </t>
  </si>
  <si>
    <t>Endring i pris (etterspørsel)</t>
  </si>
  <si>
    <t>Endring i variable kostnader per enhet</t>
  </si>
  <si>
    <t>Endring i totale faste kostnader</t>
  </si>
  <si>
    <t>Nytt resultat</t>
  </si>
  <si>
    <t>Ny inntekt hjemme</t>
  </si>
  <si>
    <t>Ny sum inntekt</t>
  </si>
  <si>
    <t>Ny pris hjemme</t>
  </si>
  <si>
    <t>Ny DEI hjemme</t>
  </si>
  <si>
    <t>Nye variable enh. kostn.</t>
  </si>
  <si>
    <t>Nye sum enh. kostn</t>
  </si>
  <si>
    <t>Nytt DB</t>
  </si>
  <si>
    <t>Nytt db</t>
  </si>
  <si>
    <t>db</t>
  </si>
  <si>
    <t>Ny sum</t>
  </si>
  <si>
    <t xml:space="preserve">Ny sum </t>
  </si>
  <si>
    <t>faste kostn.</t>
  </si>
  <si>
    <t>Nye sum</t>
  </si>
  <si>
    <t>var, kostn</t>
  </si>
  <si>
    <t>Nytt</t>
  </si>
  <si>
    <t>resultat</t>
  </si>
  <si>
    <t>Deknings-</t>
  </si>
  <si>
    <t>Nytt dekn.</t>
  </si>
  <si>
    <t>Ny pris</t>
  </si>
  <si>
    <t>Ny DEI</t>
  </si>
  <si>
    <t>Nye var.</t>
  </si>
  <si>
    <t>enh. kostn.</t>
  </si>
  <si>
    <t>Nytt res.</t>
  </si>
  <si>
    <t>Inntekter, kostnader, resultat og dekningsbidrag totalt</t>
  </si>
  <si>
    <t>Tast inn tall i cellene nedenfor for å simulere endringer</t>
  </si>
  <si>
    <t>Faste totale kostnader</t>
  </si>
  <si>
    <t>Ny differanseenh. kostn</t>
  </si>
  <si>
    <t>Differanseenh.kostn</t>
  </si>
  <si>
    <t>Variable enh. kostn</t>
  </si>
  <si>
    <t>Ny diff.</t>
  </si>
  <si>
    <t>Proporsjonale variable kostnader per enhet</t>
  </si>
  <si>
    <t>Pris og kostnader per enhet. Resultat og dekningsbidrag totalt</t>
  </si>
  <si>
    <t>Endring i</t>
  </si>
  <si>
    <t>hjemme</t>
  </si>
  <si>
    <t>utlandet</t>
  </si>
  <si>
    <t>Hjelpetabeller</t>
  </si>
  <si>
    <t>Totalt</t>
  </si>
  <si>
    <t>Dekningsbidrag (sum inntekt - variable kostn.)</t>
  </si>
  <si>
    <t>Kr/enhet</t>
  </si>
  <si>
    <t>Figurer/tekstbokser til bruk når du skal merke i grafen</t>
  </si>
  <si>
    <t>NB! Opphev arkbeskyttelsen for å bruke figurene</t>
  </si>
  <si>
    <t>Bruk zoom for å tilpasse visning av regnearket</t>
  </si>
  <si>
    <t>Beregning av dekningsbidrag og overskudd:</t>
  </si>
  <si>
    <t>Sum totale</t>
  </si>
  <si>
    <t xml:space="preserve">Faste </t>
  </si>
  <si>
    <t>Sum total inntekt</t>
  </si>
  <si>
    <t>Sum total kostn.</t>
  </si>
  <si>
    <t>Var.totale kostn.</t>
  </si>
  <si>
    <t>Faste totale kostn.</t>
  </si>
  <si>
    <t>Ny sum total kostn.</t>
  </si>
  <si>
    <t>Nye var. totale kostn.</t>
  </si>
  <si>
    <t>Nye faste totale kostn.</t>
  </si>
  <si>
    <t>Variable tot.</t>
  </si>
  <si>
    <t>Variable enh</t>
  </si>
  <si>
    <t>Registrer antall mengdeintervaller i tabellen</t>
  </si>
  <si>
    <t>kostn. (VTK)</t>
  </si>
  <si>
    <t xml:space="preserve"> kostn. (VEK)</t>
  </si>
  <si>
    <t>Ikke proporsjonale variable kostnader</t>
  </si>
  <si>
    <t>Klikk her for å tilpasse mengdeintervallene i grafen</t>
  </si>
  <si>
    <t xml:space="preserve"> Merk at det maksimalt kan være 11 intervaller i inndataene dine</t>
  </si>
  <si>
    <t>Her ser du tabellene</t>
  </si>
  <si>
    <t>I et regneark er det ikke mulig å gjøre dette. Regnearket "tillater" ikke "tomme" celler når en skal tegne diagrammer. For å tegne grafene er det derfor en hjelpetabell som ligger skjult i arket.</t>
  </si>
  <si>
    <t>Hjelp til modellen Markedstilpasning</t>
  </si>
  <si>
    <t>Her har vi fast pris og ikke proporsjonale variable kostnader. I inndatafeltene i modellen legger vi inn følgende</t>
  </si>
  <si>
    <t>Tekst (valgfritt)</t>
  </si>
  <si>
    <t>Mengdeintervall - her 200</t>
  </si>
  <si>
    <t>Pris ved minste mengde - Her 15000</t>
  </si>
  <si>
    <t>Blank siden det er fast pris her</t>
  </si>
  <si>
    <t>I denne oppgaven er det 9 intervaller</t>
  </si>
  <si>
    <t>NB! Husk å klikke i dette feltet for</t>
  </si>
  <si>
    <t>å oppdatere mengdeintervallene</t>
  </si>
  <si>
    <r>
      <t xml:space="preserve">Oversikt over modellen. </t>
    </r>
    <r>
      <rPr>
        <b/>
        <sz val="12"/>
        <rFont val="Calibri (Brødtekst)"/>
      </rPr>
      <t>Modellen består av flere deler - her ser du øverste del med inndata, grafer med mer (tallene er hentet fra eksamen V2014)</t>
    </r>
  </si>
  <si>
    <t>Her registrerer du faste totale kostnader</t>
  </si>
  <si>
    <t xml:space="preserve">Hvis du glemmer å kikke for å oppdaterer tabellen </t>
  </si>
  <si>
    <t>vil grafen kunne se slik ut</t>
  </si>
  <si>
    <t>Grafen vi da se slik ut:</t>
  </si>
  <si>
    <t xml:space="preserve">Variable enhetskostnader ved endring av intervall </t>
  </si>
  <si>
    <t>for å få med 0 på mengedaksen</t>
  </si>
  <si>
    <t>Nytt enhetsdiagram</t>
  </si>
  <si>
    <t>"Gammelt" enhetsdigram</t>
  </si>
  <si>
    <t>Endring av minste mengde</t>
  </si>
  <si>
    <t>Registrering av inndata</t>
  </si>
  <si>
    <t>Hvis du vil at Y-aksen (kr-aksen) skal skjære X-aksen (mengdeaksen) i 0</t>
  </si>
  <si>
    <t>I tillegg har modellen en mengde hjelpeutregninger/tabeller som er skjult.</t>
  </si>
  <si>
    <t>For å vise funksjonene, tar jeg utgangspunkt i eksamen i Økonomi og ledelse V2014. Eksamensoppgaven oppga følgende tall:</t>
  </si>
  <si>
    <t>Her registreres ingenting i denne oppgaven siden de variable kostnadene ikke er proporsjonale.</t>
  </si>
  <si>
    <t>DI/DEI og DK/DEK (differanseinntekt/differanseenhetsinntekt og differansekostnad/differanseenhetskostnad) i modellen.</t>
  </si>
  <si>
    <t>Dette ser slik ut med tallene fra V2014 (her vises et utdrag fra hjelpetabellene).</t>
  </si>
  <si>
    <t>I tabellen over er det en "tom" mengde mellom hvert mengdeintervall og DI/DEI og DK/DEK er "tegnet" inn mellom intervallene slik en gjør det dersom en tegner grafene på papir.</t>
  </si>
  <si>
    <t>Berergning av priselastisitet</t>
  </si>
  <si>
    <t>Endring mengde</t>
  </si>
  <si>
    <t>Priselastisitet (ep)</t>
  </si>
  <si>
    <r>
      <t xml:space="preserve">Registrering av inndata </t>
    </r>
    <r>
      <rPr>
        <sz val="14"/>
        <rFont val="Calibri"/>
        <family val="2"/>
        <scheme val="minor"/>
      </rPr>
      <t>(fortsatt)</t>
    </r>
  </si>
  <si>
    <t>Prisdifferensiering/tilleggsordre</t>
  </si>
  <si>
    <t>Modellen gir mulighet til å registere pris og mengde for et nytt marked/en tilleggsordre. I teorien snakker vi da om prisdifferensering eller tilleggdordre.</t>
  </si>
  <si>
    <t>Normalt registrerer du bare pris på marked 2 (merk at du kan forandre teksten her for eksempel til Sverige). Her er et eksempel på hvordan dette vi se ut</t>
  </si>
  <si>
    <t>Endring av forutsetninger</t>
  </si>
  <si>
    <t>Her ser en at når de variable enhetskostnadene minker, vil kurvene for</t>
  </si>
  <si>
    <t>Modellen gir muligheter til å simulere endringer i pris, variable enhetskotnader</t>
  </si>
  <si>
    <t>der myndighetene vurderer å gi en avgiftsreduksjon på kr 1 000 per sykkel</t>
  </si>
  <si>
    <t>Beregning av priselastisitet</t>
  </si>
  <si>
    <t>Denne modellen beregner priselastisitet på grunnlag av registrerte inndata.</t>
  </si>
  <si>
    <t xml:space="preserve"> og faste kostader. Bildet nedenfor viser løsning for eksamen V2014, </t>
  </si>
  <si>
    <t>Endring i mengde/gammel mengde</t>
  </si>
  <si>
    <t>Endring i pris/ny pris</t>
  </si>
  <si>
    <t>Modellen bruker følgende formel for ep:</t>
  </si>
  <si>
    <t xml:space="preserve">Forskjellen er at ved prisdifferensering ser vi på salg på et marked som skiller seg fra hovedmarkedet, der vi fritt kan velge hvor stor mengde vi vil selge på de to markedene. </t>
  </si>
  <si>
    <t>Ved en tilleggsodre vil det som regel være snakk om å levere en viss mengde en gang til en kunde, dvs normalt ikke noe som vi vil fortsette med over tid.</t>
  </si>
  <si>
    <t>Merk at dersom dataene ikke passer, vil modellen gi feil i cellen for eksempel #REF eller #VERDI.</t>
  </si>
  <si>
    <t>VEK, SEK og DEK falle. Modellen viser de nye kostnadene som stiplede linjer.</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</si>
</sst>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0;[Red]\-0"/>
    <numFmt numFmtId="165" formatCode="#,##0.0;[Red]\-#,##0.0"/>
    <numFmt numFmtId="166" formatCode="General;"/>
    <numFmt numFmtId="167" formatCode="#,##0;[Red]\-#,##0;"/>
    <numFmt numFmtId="168" formatCode="0;;"/>
    <numFmt numFmtId="169" formatCode="#,##0;[Red]\-#,##0;;"/>
    <numFmt numFmtId="170" formatCode="General;;"/>
    <numFmt numFmtId="171" formatCode="General;[Red]\-General;"/>
    <numFmt numFmtId="172" formatCode="#,##0;[Red]\-#,###;\ "/>
    <numFmt numFmtId="173" formatCode="#,##0_);[Red]\-#,##0"/>
    <numFmt numFmtId="174" formatCode="#,##0.00;[Red]#,##0.00"/>
  </numFmts>
  <fonts count="33">
    <font>
      <sz val="10"/>
      <color indexed="8"/>
      <name val="Times New Roman"/>
    </font>
    <font>
      <sz val="8"/>
      <name val="Times New Roman"/>
      <family val="1"/>
    </font>
    <font>
      <sz val="10"/>
      <color indexed="8"/>
      <name val="Arial"/>
      <family val="2"/>
    </font>
    <font>
      <b/>
      <sz val="14"/>
      <color indexed="8"/>
      <name val="Arial"/>
      <family val="2"/>
    </font>
    <font>
      <b/>
      <sz val="10"/>
      <color indexed="8"/>
      <name val="Arial"/>
      <family val="2"/>
    </font>
    <font>
      <b/>
      <sz val="9"/>
      <color indexed="8"/>
      <name val="Arial"/>
      <family val="2"/>
    </font>
    <font>
      <b/>
      <sz val="10"/>
      <color indexed="10"/>
      <name val="Arial"/>
      <family val="2"/>
    </font>
    <font>
      <b/>
      <sz val="8"/>
      <color indexed="8"/>
      <name val="Arial"/>
      <family val="2"/>
    </font>
    <font>
      <sz val="8"/>
      <color indexed="8"/>
      <name val="Arial"/>
      <family val="2"/>
    </font>
    <font>
      <sz val="18"/>
      <name val="Arial"/>
      <family val="2"/>
    </font>
    <font>
      <sz val="9"/>
      <color indexed="12"/>
      <name val="Arial"/>
      <family val="2"/>
    </font>
    <font>
      <b/>
      <sz val="9"/>
      <color indexed="9"/>
      <name val="Arial"/>
      <family val="2"/>
    </font>
    <font>
      <sz val="6"/>
      <color indexed="8"/>
      <name val="Arial"/>
      <family val="2"/>
    </font>
    <font>
      <sz val="8"/>
      <color indexed="81"/>
      <name val="Tahoma"/>
      <family val="2"/>
    </font>
    <font>
      <b/>
      <sz val="10"/>
      <color rgb="FF000000"/>
      <name val="Arial"/>
      <family val="2"/>
    </font>
    <font>
      <u/>
      <sz val="10"/>
      <color theme="10"/>
      <name val="Times New Roman"/>
      <family val="1"/>
    </font>
    <font>
      <u/>
      <sz val="10"/>
      <color theme="11"/>
      <name val="Times New Roman"/>
      <family val="1"/>
    </font>
    <font>
      <sz val="9"/>
      <color indexed="81"/>
      <name val="Calibri"/>
      <family val="2"/>
      <scheme val="minor"/>
    </font>
    <font>
      <sz val="9"/>
      <color indexed="81"/>
      <name val="Calibri"/>
      <family val="2"/>
    </font>
    <font>
      <sz val="10"/>
      <color rgb="FFFF0000"/>
      <name val="Arial"/>
      <family val="2"/>
    </font>
    <font>
      <sz val="12"/>
      <color theme="0"/>
      <name val="Arial"/>
      <family val="2"/>
    </font>
    <font>
      <sz val="9"/>
      <color indexed="8"/>
      <name val="Arial"/>
      <family val="2"/>
    </font>
    <font>
      <b/>
      <sz val="10"/>
      <color rgb="FFFF0000"/>
      <name val="Arial"/>
    </font>
    <font>
      <sz val="10"/>
      <name val="Arial"/>
      <family val="2"/>
    </font>
    <font>
      <b/>
      <sz val="10"/>
      <color rgb="FFFF0000"/>
      <name val="Calibri"/>
      <scheme val="minor"/>
    </font>
    <font>
      <sz val="10"/>
      <name val="Calibri"/>
      <scheme val="minor"/>
    </font>
    <font>
      <b/>
      <sz val="12"/>
      <name val="Calibri"/>
      <family val="2"/>
      <scheme val="minor"/>
    </font>
    <font>
      <b/>
      <sz val="14"/>
      <name val="Calibri"/>
      <family val="2"/>
      <scheme val="minor"/>
    </font>
    <font>
      <sz val="14"/>
      <name val="Calibri"/>
      <family val="2"/>
      <scheme val="minor"/>
    </font>
    <font>
      <sz val="11"/>
      <name val="Calibri"/>
      <scheme val="minor"/>
    </font>
    <font>
      <b/>
      <sz val="12"/>
      <name val="Calibri (Brødtekst)"/>
    </font>
    <font>
      <sz val="11"/>
      <color rgb="FFFF0000"/>
      <name val="Calibri"/>
      <scheme val="minor"/>
    </font>
    <font>
      <u/>
      <sz val="11"/>
      <name val="Calibri"/>
      <scheme val="minor"/>
    </font>
  </fonts>
  <fills count="16">
    <fill>
      <patternFill patternType="none"/>
    </fill>
    <fill>
      <patternFill patternType="gray125"/>
    </fill>
    <fill>
      <patternFill patternType="solid">
        <fgColor indexed="22"/>
      </patternFill>
    </fill>
    <fill>
      <patternFill patternType="gray125">
        <fgColor indexed="9"/>
        <bgColor indexed="9"/>
      </patternFill>
    </fill>
    <fill>
      <patternFill patternType="mediumGray">
        <fgColor indexed="9"/>
        <bgColor indexed="9"/>
      </patternFill>
    </fill>
    <fill>
      <patternFill patternType="solid">
        <fgColor indexed="22"/>
        <bgColor indexed="64"/>
      </patternFill>
    </fill>
    <fill>
      <patternFill patternType="solid">
        <fgColor indexed="12"/>
        <bgColor indexed="64"/>
      </patternFill>
    </fill>
    <fill>
      <patternFill patternType="mediumGray">
        <fgColor indexed="22"/>
        <bgColor indexed="22"/>
      </patternFill>
    </fill>
    <fill>
      <patternFill patternType="solid">
        <fgColor indexed="9"/>
        <bgColor indexed="22"/>
      </patternFill>
    </fill>
    <fill>
      <patternFill patternType="solid">
        <fgColor indexed="9"/>
        <bgColor indexed="64"/>
      </patternFill>
    </fill>
    <fill>
      <patternFill patternType="solid">
        <fgColor indexed="9"/>
        <bgColor indexed="15"/>
      </patternFill>
    </fill>
    <fill>
      <patternFill patternType="solid">
        <fgColor rgb="FFC0C0C0"/>
        <bgColor indexed="64"/>
      </patternFill>
    </fill>
    <fill>
      <patternFill patternType="solid">
        <fgColor rgb="FFFDFCD1"/>
        <bgColor indexed="64"/>
      </patternFill>
    </fill>
    <fill>
      <patternFill patternType="solid">
        <fgColor rgb="FFFF0000"/>
        <bgColor indexed="64"/>
      </patternFill>
    </fill>
    <fill>
      <patternFill patternType="solid">
        <fgColor rgb="FFFFC000"/>
        <bgColor indexed="64"/>
      </patternFill>
    </fill>
    <fill>
      <patternFill patternType="solid">
        <fgColor theme="0" tint="-0.249977111117893"/>
        <bgColor indexed="64"/>
      </patternFill>
    </fill>
  </fills>
  <borders count="4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right style="thin">
        <color auto="1"/>
      </right>
      <top/>
      <bottom style="medium">
        <color auto="1"/>
      </bottom>
      <diagonal/>
    </border>
    <border>
      <left/>
      <right style="thin">
        <color auto="1"/>
      </right>
      <top/>
      <bottom style="hair">
        <color auto="1"/>
      </bottom>
      <diagonal/>
    </border>
    <border>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medium">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hair">
        <color auto="1"/>
      </right>
      <top style="thin">
        <color auto="1"/>
      </top>
      <bottom style="hair">
        <color auto="1"/>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right style="hair">
        <color auto="1"/>
      </right>
      <top/>
      <bottom/>
      <diagonal/>
    </border>
    <border>
      <left/>
      <right style="hair">
        <color auto="1"/>
      </right>
      <top/>
      <bottom style="thin">
        <color auto="1"/>
      </bottom>
      <diagonal/>
    </border>
    <border>
      <left/>
      <right style="hair">
        <color auto="1"/>
      </right>
      <top/>
      <bottom style="hair">
        <color auto="1"/>
      </bottom>
      <diagonal/>
    </border>
    <border>
      <left style="thin">
        <color auto="1"/>
      </left>
      <right/>
      <top/>
      <bottom style="hair">
        <color auto="1"/>
      </bottom>
      <diagonal/>
    </border>
    <border>
      <left style="thin">
        <color auto="1"/>
      </left>
      <right style="thin">
        <color auto="1"/>
      </right>
      <top style="hair">
        <color auto="1"/>
      </top>
      <bottom style="thin">
        <color auto="1"/>
      </bottom>
      <diagonal/>
    </border>
    <border>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bottom style="hair">
        <color auto="1"/>
      </bottom>
      <diagonal/>
    </border>
    <border>
      <left style="hair">
        <color auto="1"/>
      </left>
      <right style="thin">
        <color auto="1"/>
      </right>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thin">
        <color auto="1"/>
      </top>
      <bottom style="hair">
        <color auto="1"/>
      </bottom>
      <diagonal/>
    </border>
    <border>
      <left style="thin">
        <color auto="1"/>
      </left>
      <right/>
      <top style="thin">
        <color auto="1"/>
      </top>
      <bottom/>
      <diagonal/>
    </border>
    <border>
      <left/>
      <right/>
      <top style="thin">
        <color auto="1"/>
      </top>
      <bottom/>
      <diagonal/>
    </border>
  </borders>
  <cellStyleXfs count="59">
    <xf numFmtId="0" fontId="0" fillId="0" borderId="0" applyNumberFormat="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xf numFmtId="0" fontId="15" fillId="0" borderId="0" applyNumberFormat="0" applyFill="0" applyBorder="0" applyAlignment="0" applyProtection="0">
      <protection locked="0"/>
    </xf>
    <xf numFmtId="0" fontId="16" fillId="0" borderId="0" applyNumberFormat="0" applyFill="0" applyBorder="0" applyAlignment="0" applyProtection="0">
      <protection locked="0"/>
    </xf>
  </cellStyleXfs>
  <cellXfs count="242">
    <xf numFmtId="0" fontId="0" fillId="0" borderId="0" xfId="0">
      <protection locked="0"/>
    </xf>
    <xf numFmtId="0" fontId="2" fillId="0" borderId="0" xfId="0" applyFont="1" applyProtection="1"/>
    <xf numFmtId="0" fontId="2" fillId="0" borderId="0" xfId="0" applyFont="1">
      <protection locked="0"/>
    </xf>
    <xf numFmtId="0" fontId="4" fillId="2" borderId="0" xfId="0" applyFont="1" applyFill="1" applyBorder="1" applyProtection="1"/>
    <xf numFmtId="0" fontId="4" fillId="2" borderId="1" xfId="0" applyFont="1" applyFill="1" applyBorder="1" applyProtection="1"/>
    <xf numFmtId="0" fontId="3" fillId="3" borderId="2" xfId="0" applyFont="1" applyFill="1" applyBorder="1" applyAlignment="1" applyProtection="1">
      <alignment horizontal="centerContinuous"/>
    </xf>
    <xf numFmtId="0" fontId="3" fillId="3" borderId="3" xfId="0" applyFont="1" applyFill="1" applyBorder="1" applyAlignment="1" applyProtection="1">
      <alignment horizontal="centerContinuous"/>
    </xf>
    <xf numFmtId="0" fontId="4" fillId="3" borderId="3" xfId="0" applyFont="1" applyFill="1" applyBorder="1" applyAlignment="1" applyProtection="1">
      <alignment horizontal="centerContinuous"/>
    </xf>
    <xf numFmtId="0" fontId="7" fillId="0" borderId="4" xfId="0" applyFont="1" applyBorder="1" applyAlignment="1" applyProtection="1">
      <alignment horizontal="centerContinuous"/>
    </xf>
    <xf numFmtId="0" fontId="7" fillId="0" borderId="5" xfId="0" applyFont="1" applyBorder="1" applyAlignment="1" applyProtection="1">
      <alignment horizontal="centerContinuous"/>
    </xf>
    <xf numFmtId="168" fontId="8" fillId="0" borderId="6" xfId="0" applyNumberFormat="1" applyFont="1" applyBorder="1" applyAlignment="1" applyProtection="1">
      <alignment horizontal="center"/>
    </xf>
    <xf numFmtId="0" fontId="7" fillId="4" borderId="7" xfId="0" applyFont="1" applyFill="1" applyBorder="1" applyAlignment="1" applyProtection="1">
      <alignment horizontal="center"/>
    </xf>
    <xf numFmtId="38" fontId="2" fillId="0" borderId="0" xfId="0" applyNumberFormat="1" applyFont="1" applyBorder="1" applyProtection="1"/>
    <xf numFmtId="164" fontId="8" fillId="0" borderId="8" xfId="0" applyNumberFormat="1" applyFont="1" applyBorder="1" applyAlignment="1" applyProtection="1">
      <alignment horizontal="center"/>
    </xf>
    <xf numFmtId="0" fontId="8" fillId="0" borderId="0" xfId="0" applyFont="1" applyProtection="1"/>
    <xf numFmtId="38" fontId="2" fillId="0" borderId="0" xfId="0" applyNumberFormat="1" applyFont="1" applyProtection="1"/>
    <xf numFmtId="0" fontId="0" fillId="5" borderId="9" xfId="0" applyFill="1" applyBorder="1">
      <protection locked="0"/>
    </xf>
    <xf numFmtId="0" fontId="0" fillId="5" borderId="10" xfId="0" applyFill="1" applyBorder="1">
      <protection locked="0"/>
    </xf>
    <xf numFmtId="0" fontId="4" fillId="2" borderId="1" xfId="0" applyFont="1" applyFill="1" applyBorder="1" applyAlignment="1" applyProtection="1">
      <alignment horizontal="center"/>
    </xf>
    <xf numFmtId="0" fontId="2" fillId="6" borderId="0" xfId="0" applyFont="1" applyFill="1" applyProtection="1"/>
    <xf numFmtId="0" fontId="2" fillId="5" borderId="0" xfId="0" applyFont="1" applyFill="1">
      <protection locked="0"/>
    </xf>
    <xf numFmtId="0" fontId="2" fillId="5" borderId="0" xfId="0" applyFont="1" applyFill="1" applyProtection="1"/>
    <xf numFmtId="0" fontId="2" fillId="5" borderId="0" xfId="0" applyFont="1" applyFill="1" applyBorder="1" applyProtection="1"/>
    <xf numFmtId="0" fontId="2" fillId="5" borderId="0" xfId="0" applyFont="1" applyFill="1" applyAlignment="1" applyProtection="1">
      <alignment horizontal="centerContinuous"/>
    </xf>
    <xf numFmtId="0" fontId="6" fillId="5" borderId="0" xfId="0" applyFont="1" applyFill="1" applyProtection="1"/>
    <xf numFmtId="0" fontId="7" fillId="3" borderId="13" xfId="0" applyFont="1" applyFill="1" applyBorder="1" applyAlignment="1" applyProtection="1">
      <alignment horizontal="center"/>
    </xf>
    <xf numFmtId="0" fontId="7" fillId="3" borderId="14" xfId="0" applyFont="1" applyFill="1" applyBorder="1" applyAlignment="1" applyProtection="1">
      <alignment horizontal="center"/>
    </xf>
    <xf numFmtId="0" fontId="7" fillId="3" borderId="15" xfId="0" applyFont="1" applyFill="1" applyBorder="1" applyAlignment="1" applyProtection="1">
      <alignment horizontal="center"/>
    </xf>
    <xf numFmtId="0" fontId="7" fillId="3" borderId="16" xfId="0" applyFont="1" applyFill="1" applyBorder="1" applyAlignment="1" applyProtection="1">
      <alignment horizontal="center"/>
    </xf>
    <xf numFmtId="0" fontId="7" fillId="3" borderId="17" xfId="0" applyFont="1" applyFill="1" applyBorder="1" applyAlignment="1" applyProtection="1">
      <alignment horizontal="center"/>
    </xf>
    <xf numFmtId="0" fontId="7" fillId="3" borderId="12" xfId="0" applyFont="1" applyFill="1" applyBorder="1" applyAlignment="1" applyProtection="1">
      <alignment horizontal="center"/>
    </xf>
    <xf numFmtId="0" fontId="2" fillId="2" borderId="0" xfId="0" quotePrefix="1" applyFont="1" applyFill="1" applyBorder="1" applyAlignment="1" applyProtection="1">
      <alignment horizontal="right"/>
    </xf>
    <xf numFmtId="0" fontId="2" fillId="2" borderId="1" xfId="0" quotePrefix="1" applyFont="1" applyFill="1" applyBorder="1" applyAlignment="1" applyProtection="1">
      <alignment horizontal="right"/>
    </xf>
    <xf numFmtId="0" fontId="2" fillId="2" borderId="0" xfId="0" applyFont="1" applyFill="1" applyBorder="1" applyAlignment="1" applyProtection="1">
      <alignment horizontal="right"/>
    </xf>
    <xf numFmtId="0" fontId="2" fillId="2" borderId="0" xfId="0" applyFont="1" applyFill="1" applyBorder="1" applyProtection="1"/>
    <xf numFmtId="0" fontId="2" fillId="2" borderId="15" xfId="0" quotePrefix="1" applyFont="1" applyFill="1" applyBorder="1" applyAlignment="1" applyProtection="1">
      <alignment horizontal="right"/>
    </xf>
    <xf numFmtId="0" fontId="2" fillId="5" borderId="0" xfId="0" applyFont="1" applyFill="1" applyBorder="1" applyAlignment="1" applyProtection="1">
      <alignment horizontal="centerContinuous"/>
    </xf>
    <xf numFmtId="0" fontId="2" fillId="5" borderId="0" xfId="0" applyFont="1" applyFill="1" applyAlignment="1" applyProtection="1">
      <alignment vertical="top"/>
    </xf>
    <xf numFmtId="0" fontId="2" fillId="0" borderId="0" xfId="0" applyFont="1" applyAlignment="1" applyProtection="1">
      <alignment vertical="top"/>
    </xf>
    <xf numFmtId="0" fontId="2" fillId="0" borderId="0" xfId="0" applyFont="1" applyBorder="1" applyProtection="1"/>
    <xf numFmtId="38" fontId="10" fillId="4" borderId="6" xfId="0" applyNumberFormat="1" applyFont="1" applyFill="1" applyBorder="1" applyProtection="1">
      <protection locked="0"/>
    </xf>
    <xf numFmtId="166" fontId="10" fillId="8" borderId="4" xfId="0" applyNumberFormat="1" applyFont="1" applyFill="1" applyBorder="1" applyProtection="1">
      <protection locked="0"/>
    </xf>
    <xf numFmtId="166" fontId="10" fillId="8" borderId="6" xfId="0" applyNumberFormat="1" applyFont="1" applyFill="1" applyBorder="1" applyProtection="1">
      <protection locked="0"/>
    </xf>
    <xf numFmtId="167" fontId="10" fillId="8" borderId="5" xfId="0" applyNumberFormat="1" applyFont="1" applyFill="1" applyBorder="1" applyProtection="1">
      <protection locked="0"/>
    </xf>
    <xf numFmtId="0" fontId="10" fillId="9" borderId="8" xfId="0" applyFont="1" applyFill="1" applyBorder="1" applyAlignment="1" applyProtection="1">
      <alignment horizontal="center"/>
      <protection locked="0"/>
    </xf>
    <xf numFmtId="40" fontId="10" fillId="4" borderId="6" xfId="0" applyNumberFormat="1" applyFont="1" applyFill="1" applyBorder="1" applyProtection="1">
      <protection locked="0"/>
    </xf>
    <xf numFmtId="0" fontId="7" fillId="10" borderId="15" xfId="0" applyFont="1" applyFill="1" applyBorder="1" applyAlignment="1" applyProtection="1">
      <alignment horizontal="center"/>
    </xf>
    <xf numFmtId="0" fontId="7" fillId="10" borderId="6" xfId="0" applyFont="1" applyFill="1" applyBorder="1" applyAlignment="1" applyProtection="1">
      <alignment horizontal="center"/>
    </xf>
    <xf numFmtId="0" fontId="7" fillId="10" borderId="15" xfId="0" quotePrefix="1" applyFont="1" applyFill="1" applyBorder="1" applyAlignment="1" applyProtection="1">
      <alignment horizontal="center"/>
    </xf>
    <xf numFmtId="0" fontId="7" fillId="10" borderId="18" xfId="0" applyFont="1" applyFill="1" applyBorder="1" applyAlignment="1" applyProtection="1">
      <alignment horizontal="center"/>
    </xf>
    <xf numFmtId="170" fontId="7" fillId="10" borderId="7" xfId="0" applyNumberFormat="1" applyFont="1" applyFill="1" applyBorder="1" applyAlignment="1" applyProtection="1">
      <alignment horizontal="center"/>
    </xf>
    <xf numFmtId="0" fontId="7" fillId="10" borderId="18" xfId="0" quotePrefix="1" applyFont="1" applyFill="1" applyBorder="1" applyAlignment="1" applyProtection="1">
      <alignment horizontal="center"/>
    </xf>
    <xf numFmtId="38" fontId="8" fillId="0" borderId="19" xfId="0" applyNumberFormat="1" applyFont="1" applyBorder="1" applyProtection="1">
      <protection hidden="1"/>
    </xf>
    <xf numFmtId="165" fontId="8" fillId="0" borderId="19" xfId="0" applyNumberFormat="1" applyFont="1" applyBorder="1" applyProtection="1">
      <protection hidden="1"/>
    </xf>
    <xf numFmtId="38" fontId="8" fillId="0" borderId="12" xfId="0" applyNumberFormat="1" applyFont="1" applyBorder="1" applyProtection="1">
      <protection hidden="1"/>
    </xf>
    <xf numFmtId="0" fontId="8" fillId="0" borderId="0" xfId="0" applyFont="1">
      <protection locked="0"/>
    </xf>
    <xf numFmtId="0" fontId="7" fillId="10" borderId="2" xfId="0" applyFont="1" applyFill="1" applyBorder="1" applyAlignment="1" applyProtection="1">
      <alignment horizontal="centerContinuous"/>
    </xf>
    <xf numFmtId="0" fontId="7" fillId="10" borderId="3" xfId="0" applyFont="1" applyFill="1" applyBorder="1" applyAlignment="1" applyProtection="1">
      <alignment horizontal="centerContinuous"/>
    </xf>
    <xf numFmtId="0" fontId="7" fillId="10" borderId="20" xfId="0" applyFont="1" applyFill="1" applyBorder="1" applyAlignment="1" applyProtection="1">
      <alignment horizontal="centerContinuous"/>
    </xf>
    <xf numFmtId="0" fontId="7" fillId="10" borderId="7" xfId="0" applyFont="1" applyFill="1" applyBorder="1" applyAlignment="1" applyProtection="1">
      <alignment horizontal="center"/>
    </xf>
    <xf numFmtId="38" fontId="8" fillId="0" borderId="21" xfId="0" applyNumberFormat="1" applyFont="1" applyBorder="1" applyProtection="1">
      <protection hidden="1"/>
    </xf>
    <xf numFmtId="38" fontId="8" fillId="0" borderId="5" xfId="0" applyNumberFormat="1" applyFont="1" applyBorder="1" applyProtection="1">
      <protection hidden="1"/>
    </xf>
    <xf numFmtId="164" fontId="8" fillId="0" borderId="15" xfId="0" applyNumberFormat="1" applyFont="1" applyBorder="1" applyProtection="1"/>
    <xf numFmtId="164" fontId="8" fillId="0" borderId="6" xfId="0" applyNumberFormat="1" applyFont="1" applyBorder="1" applyProtection="1"/>
    <xf numFmtId="38" fontId="8" fillId="0" borderId="0" xfId="0" applyNumberFormat="1" applyFont="1" applyBorder="1" applyProtection="1"/>
    <xf numFmtId="38" fontId="8" fillId="0" borderId="15" xfId="0" applyNumberFormat="1" applyFont="1" applyBorder="1" applyProtection="1"/>
    <xf numFmtId="0" fontId="2" fillId="5" borderId="0" xfId="0" applyFont="1" applyFill="1" applyBorder="1" applyAlignment="1" applyProtection="1">
      <alignment horizontal="right"/>
    </xf>
    <xf numFmtId="164" fontId="8" fillId="0" borderId="22" xfId="0" applyNumberFormat="1" applyFont="1" applyBorder="1" applyProtection="1"/>
    <xf numFmtId="0" fontId="7" fillId="4" borderId="18" xfId="0" applyFont="1" applyFill="1" applyBorder="1" applyAlignment="1" applyProtection="1">
      <alignment horizontal="center"/>
    </xf>
    <xf numFmtId="0" fontId="7" fillId="4" borderId="23" xfId="0" applyFont="1" applyFill="1" applyBorder="1" applyAlignment="1" applyProtection="1">
      <alignment horizontal="center"/>
    </xf>
    <xf numFmtId="38" fontId="8" fillId="0" borderId="6" xfId="0" applyNumberFormat="1" applyFont="1" applyBorder="1" applyProtection="1"/>
    <xf numFmtId="0" fontId="7" fillId="0" borderId="24" xfId="0" applyFont="1" applyBorder="1" applyAlignment="1">
      <alignment horizontal="center"/>
      <protection locked="0"/>
    </xf>
    <xf numFmtId="164" fontId="8" fillId="0" borderId="15" xfId="0" applyNumberFormat="1" applyFont="1" applyBorder="1">
      <protection locked="0"/>
    </xf>
    <xf numFmtId="38" fontId="8" fillId="0" borderId="25" xfId="0" applyNumberFormat="1" applyFont="1" applyBorder="1" applyProtection="1"/>
    <xf numFmtId="38" fontId="8" fillId="0" borderId="26" xfId="0" applyNumberFormat="1" applyFont="1" applyBorder="1" applyProtection="1"/>
    <xf numFmtId="38" fontId="8" fillId="0" borderId="27" xfId="0" applyNumberFormat="1" applyFont="1" applyBorder="1" applyProtection="1"/>
    <xf numFmtId="38" fontId="8" fillId="0" borderId="16" xfId="0" applyNumberFormat="1" applyFont="1" applyBorder="1" applyProtection="1"/>
    <xf numFmtId="38" fontId="8" fillId="0" borderId="17" xfId="0" applyNumberFormat="1" applyFont="1" applyBorder="1" applyProtection="1"/>
    <xf numFmtId="0" fontId="7" fillId="3" borderId="28" xfId="0" applyFont="1" applyFill="1" applyBorder="1" applyAlignment="1" applyProtection="1">
      <alignment horizontal="center"/>
    </xf>
    <xf numFmtId="0" fontId="7" fillId="3" borderId="29" xfId="0" applyFont="1" applyFill="1" applyBorder="1" applyAlignment="1" applyProtection="1">
      <alignment horizontal="center"/>
    </xf>
    <xf numFmtId="170" fontId="7" fillId="3" borderId="29" xfId="0" applyNumberFormat="1" applyFont="1" applyFill="1" applyBorder="1" applyAlignment="1" applyProtection="1">
      <alignment horizontal="center"/>
    </xf>
    <xf numFmtId="165" fontId="8" fillId="3" borderId="30" xfId="0" applyNumberFormat="1" applyFont="1" applyFill="1" applyBorder="1" applyAlignment="1" applyProtection="1">
      <alignment horizontal="right"/>
    </xf>
    <xf numFmtId="165" fontId="8" fillId="3" borderId="29" xfId="0" applyNumberFormat="1" applyFont="1" applyFill="1" applyBorder="1" applyAlignment="1" applyProtection="1">
      <alignment horizontal="right"/>
    </xf>
    <xf numFmtId="38" fontId="8" fillId="3" borderId="31" xfId="0" applyNumberFormat="1" applyFont="1" applyFill="1" applyBorder="1" applyAlignment="1" applyProtection="1">
      <alignment horizontal="right"/>
    </xf>
    <xf numFmtId="38" fontId="8" fillId="3" borderId="10" xfId="0" applyNumberFormat="1" applyFont="1" applyFill="1" applyBorder="1" applyAlignment="1" applyProtection="1">
      <alignment horizontal="right"/>
    </xf>
    <xf numFmtId="0" fontId="7" fillId="10" borderId="4" xfId="0" applyFont="1" applyFill="1" applyBorder="1" applyAlignment="1" applyProtection="1">
      <alignment horizontal="center"/>
    </xf>
    <xf numFmtId="38" fontId="8" fillId="0" borderId="22" xfId="0" applyNumberFormat="1" applyFont="1" applyBorder="1" applyProtection="1"/>
    <xf numFmtId="38" fontId="8" fillId="0" borderId="32" xfId="0" applyNumberFormat="1" applyFont="1" applyBorder="1" applyProtection="1">
      <protection hidden="1"/>
    </xf>
    <xf numFmtId="165" fontId="8" fillId="0" borderId="21" xfId="0" applyNumberFormat="1" applyFont="1" applyBorder="1" applyProtection="1">
      <protection hidden="1"/>
    </xf>
    <xf numFmtId="165" fontId="8" fillId="0" borderId="5" xfId="0" applyNumberFormat="1" applyFont="1" applyBorder="1" applyProtection="1">
      <protection hidden="1"/>
    </xf>
    <xf numFmtId="165" fontId="8" fillId="0" borderId="12" xfId="0" applyNumberFormat="1" applyFont="1" applyBorder="1" applyProtection="1">
      <protection hidden="1"/>
    </xf>
    <xf numFmtId="165" fontId="8" fillId="0" borderId="32" xfId="0" applyNumberFormat="1" applyFont="1" applyBorder="1" applyProtection="1">
      <protection hidden="1"/>
    </xf>
    <xf numFmtId="165" fontId="8" fillId="0" borderId="33" xfId="0" applyNumberFormat="1" applyFont="1" applyBorder="1" applyProtection="1">
      <protection hidden="1"/>
    </xf>
    <xf numFmtId="0" fontId="7" fillId="0" borderId="23" xfId="0" applyFont="1" applyBorder="1" applyAlignment="1">
      <alignment horizontal="center"/>
      <protection locked="0"/>
    </xf>
    <xf numFmtId="164" fontId="8" fillId="0" borderId="6" xfId="0" applyNumberFormat="1" applyFont="1" applyBorder="1">
      <protection locked="0"/>
    </xf>
    <xf numFmtId="165" fontId="8" fillId="3" borderId="34" xfId="0" applyNumberFormat="1" applyFont="1" applyFill="1" applyBorder="1" applyAlignment="1" applyProtection="1">
      <alignment horizontal="right"/>
    </xf>
    <xf numFmtId="165" fontId="8" fillId="3" borderId="35" xfId="0" applyNumberFormat="1" applyFont="1" applyFill="1" applyBorder="1" applyAlignment="1" applyProtection="1">
      <alignment horizontal="right"/>
    </xf>
    <xf numFmtId="165" fontId="8" fillId="3" borderId="26" xfId="0" applyNumberFormat="1" applyFont="1" applyFill="1" applyBorder="1" applyAlignment="1" applyProtection="1">
      <alignment horizontal="right"/>
    </xf>
    <xf numFmtId="165" fontId="8" fillId="3" borderId="36" xfId="0" applyNumberFormat="1" applyFont="1" applyFill="1" applyBorder="1" applyAlignment="1" applyProtection="1">
      <alignment horizontal="right"/>
    </xf>
    <xf numFmtId="165" fontId="8" fillId="3" borderId="17" xfId="0" applyNumberFormat="1" applyFont="1" applyFill="1" applyBorder="1" applyAlignment="1" applyProtection="1">
      <alignment horizontal="right"/>
    </xf>
    <xf numFmtId="165" fontId="8" fillId="3" borderId="37" xfId="0" applyNumberFormat="1" applyFont="1" applyFill="1" applyBorder="1" applyAlignment="1" applyProtection="1">
      <alignment horizontal="right"/>
    </xf>
    <xf numFmtId="0" fontId="7" fillId="3" borderId="11" xfId="0" applyFont="1" applyFill="1" applyBorder="1" applyAlignment="1" applyProtection="1">
      <alignment horizontal="center"/>
    </xf>
    <xf numFmtId="0" fontId="7" fillId="4" borderId="2" xfId="0" applyFont="1" applyFill="1" applyBorder="1" applyAlignment="1" applyProtection="1">
      <alignment horizontal="centerContinuous"/>
    </xf>
    <xf numFmtId="0" fontId="7" fillId="4" borderId="3" xfId="0" applyFont="1" applyFill="1" applyBorder="1" applyAlignment="1" applyProtection="1">
      <alignment horizontal="centerContinuous"/>
    </xf>
    <xf numFmtId="164" fontId="8" fillId="0" borderId="5" xfId="0" applyNumberFormat="1" applyFont="1" applyBorder="1" applyProtection="1"/>
    <xf numFmtId="38" fontId="8" fillId="0" borderId="5" xfId="0" applyNumberFormat="1" applyFont="1" applyBorder="1" applyProtection="1"/>
    <xf numFmtId="164" fontId="8" fillId="0" borderId="12" xfId="0" applyNumberFormat="1" applyFont="1" applyBorder="1" applyProtection="1"/>
    <xf numFmtId="38" fontId="8" fillId="0" borderId="12" xfId="0" applyNumberFormat="1" applyFont="1" applyBorder="1" applyProtection="1"/>
    <xf numFmtId="164" fontId="8" fillId="0" borderId="12" xfId="0" applyNumberFormat="1" applyFont="1" applyBorder="1">
      <protection locked="0"/>
    </xf>
    <xf numFmtId="164" fontId="8" fillId="0" borderId="5" xfId="0" applyNumberFormat="1" applyFont="1" applyBorder="1">
      <protection locked="0"/>
    </xf>
    <xf numFmtId="0" fontId="8" fillId="0" borderId="38" xfId="0" applyFont="1" applyBorder="1" applyAlignment="1">
      <alignment horizontal="centerContinuous"/>
      <protection locked="0"/>
    </xf>
    <xf numFmtId="0" fontId="8" fillId="0" borderId="20" xfId="0" applyFont="1" applyBorder="1" applyAlignment="1">
      <alignment horizontal="centerContinuous"/>
      <protection locked="0"/>
    </xf>
    <xf numFmtId="0" fontId="2" fillId="0" borderId="0" xfId="0" applyFont="1" applyProtection="1">
      <protection hidden="1"/>
    </xf>
    <xf numFmtId="0" fontId="7" fillId="3" borderId="4" xfId="0" applyFont="1" applyFill="1" applyBorder="1" applyAlignment="1" applyProtection="1">
      <alignment horizontal="center"/>
    </xf>
    <xf numFmtId="0" fontId="7" fillId="3" borderId="5" xfId="0" applyFont="1" applyFill="1" applyBorder="1" applyAlignment="1" applyProtection="1">
      <alignment horizontal="center"/>
    </xf>
    <xf numFmtId="165" fontId="8" fillId="3" borderId="25" xfId="0" applyNumberFormat="1" applyFont="1" applyFill="1" applyBorder="1" applyAlignment="1" applyProtection="1">
      <alignment horizontal="right"/>
    </xf>
    <xf numFmtId="165" fontId="8" fillId="3" borderId="27" xfId="0" applyNumberFormat="1" applyFont="1" applyFill="1" applyBorder="1" applyAlignment="1" applyProtection="1">
      <alignment horizontal="right"/>
    </xf>
    <xf numFmtId="165" fontId="8" fillId="3" borderId="16" xfId="0" applyNumberFormat="1" applyFont="1" applyFill="1" applyBorder="1" applyAlignment="1" applyProtection="1">
      <alignment horizontal="right"/>
    </xf>
    <xf numFmtId="0" fontId="7" fillId="4" borderId="39" xfId="0" applyFont="1" applyFill="1" applyBorder="1" applyAlignment="1" applyProtection="1">
      <alignment horizontal="centerContinuous"/>
    </xf>
    <xf numFmtId="0" fontId="7" fillId="4" borderId="20" xfId="0" applyFont="1" applyFill="1" applyBorder="1" applyAlignment="1" applyProtection="1">
      <alignment horizontal="centerContinuous"/>
    </xf>
    <xf numFmtId="0" fontId="12" fillId="3" borderId="20" xfId="0" applyFont="1" applyFill="1" applyBorder="1" applyAlignment="1" applyProtection="1">
      <alignment horizontal="right"/>
    </xf>
    <xf numFmtId="173" fontId="8" fillId="3" borderId="30" xfId="0" applyNumberFormat="1" applyFont="1" applyFill="1" applyBorder="1" applyAlignment="1" applyProtection="1">
      <alignment horizontal="right"/>
    </xf>
    <xf numFmtId="173" fontId="8" fillId="3" borderId="19" xfId="0" applyNumberFormat="1" applyFont="1" applyFill="1" applyBorder="1" applyAlignment="1" applyProtection="1">
      <alignment horizontal="right"/>
    </xf>
    <xf numFmtId="173" fontId="8" fillId="3" borderId="40" xfId="0" applyNumberFormat="1" applyFont="1" applyFill="1" applyBorder="1" applyAlignment="1" applyProtection="1">
      <alignment horizontal="right"/>
    </xf>
    <xf numFmtId="173" fontId="8" fillId="3" borderId="41" xfId="0" applyNumberFormat="1" applyFont="1" applyFill="1" applyBorder="1" applyAlignment="1" applyProtection="1">
      <alignment horizontal="right"/>
    </xf>
    <xf numFmtId="173" fontId="8" fillId="3" borderId="42" xfId="0" applyNumberFormat="1" applyFont="1" applyFill="1" applyBorder="1" applyAlignment="1" applyProtection="1">
      <alignment horizontal="right"/>
    </xf>
    <xf numFmtId="173" fontId="8" fillId="0" borderId="43" xfId="0" applyNumberFormat="1" applyFont="1" applyBorder="1" applyProtection="1"/>
    <xf numFmtId="173" fontId="8" fillId="0" borderId="26" xfId="0" applyNumberFormat="1" applyFont="1" applyBorder="1" applyProtection="1"/>
    <xf numFmtId="173" fontId="8" fillId="0" borderId="17" xfId="0" applyNumberFormat="1" applyFont="1" applyBorder="1" applyProtection="1"/>
    <xf numFmtId="173" fontId="8" fillId="0" borderId="40" xfId="0" applyNumberFormat="1" applyFont="1" applyBorder="1" applyProtection="1"/>
    <xf numFmtId="173" fontId="8" fillId="0" borderId="35" xfId="0" applyNumberFormat="1" applyFont="1" applyBorder="1" applyProtection="1"/>
    <xf numFmtId="173" fontId="8" fillId="0" borderId="36" xfId="0" applyNumberFormat="1" applyFont="1" applyBorder="1" applyProtection="1"/>
    <xf numFmtId="173" fontId="8" fillId="0" borderId="37" xfId="0" applyNumberFormat="1" applyFont="1" applyBorder="1" applyProtection="1"/>
    <xf numFmtId="0" fontId="2" fillId="5" borderId="45" xfId="0" applyFont="1" applyFill="1" applyBorder="1" applyAlignment="1" applyProtection="1">
      <alignment horizontal="centerContinuous" vertical="center"/>
    </xf>
    <xf numFmtId="0" fontId="2" fillId="5" borderId="45" xfId="0" applyFont="1" applyFill="1" applyBorder="1" applyAlignment="1" applyProtection="1">
      <alignment horizontal="right" vertical="center"/>
    </xf>
    <xf numFmtId="0" fontId="2" fillId="5" borderId="9" xfId="0" applyFont="1" applyFill="1" applyBorder="1" applyProtection="1"/>
    <xf numFmtId="171" fontId="10" fillId="9" borderId="15" xfId="0" applyNumberFormat="1" applyFont="1" applyFill="1" applyBorder="1" applyProtection="1">
      <protection locked="0"/>
    </xf>
    <xf numFmtId="0" fontId="2" fillId="5" borderId="10" xfId="0" applyFont="1" applyFill="1" applyBorder="1" applyProtection="1"/>
    <xf numFmtId="0" fontId="2" fillId="5" borderId="1" xfId="0" applyFont="1" applyFill="1" applyBorder="1" applyProtection="1"/>
    <xf numFmtId="0" fontId="2" fillId="5" borderId="1" xfId="0" applyFont="1" applyFill="1" applyBorder="1" applyAlignment="1" applyProtection="1">
      <alignment horizontal="right"/>
    </xf>
    <xf numFmtId="172" fontId="10" fillId="9" borderId="12" xfId="0" applyNumberFormat="1" applyFont="1" applyFill="1" applyBorder="1" applyProtection="1">
      <protection locked="0"/>
    </xf>
    <xf numFmtId="40" fontId="10" fillId="4" borderId="0" xfId="0" applyNumberFormat="1" applyFont="1" applyFill="1" applyBorder="1" applyProtection="1">
      <protection locked="0"/>
    </xf>
    <xf numFmtId="40" fontId="10" fillId="4" borderId="1" xfId="0" applyNumberFormat="1" applyFont="1" applyFill="1" applyBorder="1" applyProtection="1">
      <protection locked="0"/>
    </xf>
    <xf numFmtId="0" fontId="2" fillId="0" borderId="0" xfId="0" applyFont="1" applyAlignment="1" applyProtection="1">
      <alignment horizontal="right"/>
    </xf>
    <xf numFmtId="0" fontId="4" fillId="0" borderId="0" xfId="0" applyFont="1" applyAlignment="1" applyProtection="1">
      <alignment horizontal="left"/>
    </xf>
    <xf numFmtId="0" fontId="2" fillId="0" borderId="1" xfId="0" applyFont="1" applyBorder="1" applyProtection="1"/>
    <xf numFmtId="0" fontId="2" fillId="0" borderId="3" xfId="0" applyFont="1" applyBorder="1" applyProtection="1"/>
    <xf numFmtId="169" fontId="2" fillId="0" borderId="0" xfId="0" applyNumberFormat="1" applyFont="1" applyProtection="1"/>
    <xf numFmtId="169" fontId="2" fillId="0" borderId="1" xfId="0" applyNumberFormat="1" applyFont="1" applyBorder="1" applyProtection="1"/>
    <xf numFmtId="169" fontId="2" fillId="0" borderId="3" xfId="0" applyNumberFormat="1" applyFont="1" applyBorder="1" applyProtection="1"/>
    <xf numFmtId="0" fontId="4" fillId="0" borderId="1" xfId="0" applyFont="1" applyBorder="1" applyProtection="1"/>
    <xf numFmtId="0" fontId="4" fillId="0" borderId="1" xfId="0" applyFont="1" applyBorder="1" applyAlignment="1" applyProtection="1">
      <alignment horizontal="center"/>
    </xf>
    <xf numFmtId="0" fontId="2" fillId="11" borderId="1" xfId="0" applyFont="1" applyFill="1" applyBorder="1" applyProtection="1"/>
    <xf numFmtId="0" fontId="2" fillId="11" borderId="0" xfId="0" applyFont="1" applyFill="1" applyProtection="1"/>
    <xf numFmtId="0" fontId="2" fillId="11" borderId="1" xfId="0" quotePrefix="1" applyFont="1" applyFill="1" applyBorder="1" applyAlignment="1" applyProtection="1">
      <alignment horizontal="left"/>
    </xf>
    <xf numFmtId="0" fontId="2" fillId="11" borderId="3" xfId="0" quotePrefix="1" applyFont="1" applyFill="1" applyBorder="1" applyAlignment="1" applyProtection="1">
      <alignment horizontal="left"/>
    </xf>
    <xf numFmtId="0" fontId="2" fillId="11" borderId="3" xfId="0" applyFont="1" applyFill="1" applyBorder="1" applyProtection="1"/>
    <xf numFmtId="0" fontId="2" fillId="11" borderId="0" xfId="0" applyFont="1" applyFill="1" applyBorder="1" applyProtection="1"/>
    <xf numFmtId="0" fontId="2" fillId="11" borderId="0" xfId="0" quotePrefix="1" applyFont="1" applyFill="1" applyBorder="1" applyAlignment="1" applyProtection="1">
      <alignment horizontal="left"/>
    </xf>
    <xf numFmtId="167" fontId="10" fillId="8" borderId="4" xfId="0" applyNumberFormat="1" applyFont="1" applyFill="1" applyBorder="1" applyProtection="1">
      <protection locked="0"/>
    </xf>
    <xf numFmtId="0" fontId="10" fillId="4" borderId="15" xfId="0" quotePrefix="1" applyFont="1" applyFill="1" applyBorder="1" applyAlignment="1" applyProtection="1">
      <alignment horizontal="center"/>
      <protection locked="0"/>
    </xf>
    <xf numFmtId="0" fontId="4" fillId="11" borderId="0" xfId="0" quotePrefix="1" applyFont="1" applyFill="1" applyBorder="1" applyAlignment="1" applyProtection="1">
      <alignment horizontal="left"/>
    </xf>
    <xf numFmtId="0" fontId="4" fillId="11" borderId="0" xfId="0" applyFont="1" applyFill="1" applyBorder="1" applyProtection="1"/>
    <xf numFmtId="167" fontId="2" fillId="11" borderId="0" xfId="0" applyNumberFormat="1" applyFont="1" applyFill="1" applyBorder="1" applyAlignment="1" applyProtection="1">
      <alignment horizontal="right"/>
    </xf>
    <xf numFmtId="0" fontId="20" fillId="6" borderId="0" xfId="0" applyFont="1" applyFill="1" applyAlignment="1" applyProtection="1">
      <alignment vertical="top"/>
    </xf>
    <xf numFmtId="0" fontId="5" fillId="11" borderId="3" xfId="0" quotePrefix="1" applyFont="1" applyFill="1" applyBorder="1" applyAlignment="1" applyProtection="1">
      <alignment horizontal="center"/>
    </xf>
    <xf numFmtId="0" fontId="5" fillId="11" borderId="20" xfId="0" applyFont="1" applyFill="1" applyBorder="1" applyAlignment="1" applyProtection="1">
      <alignment horizontal="center"/>
    </xf>
    <xf numFmtId="169" fontId="21" fillId="11" borderId="15" xfId="0" applyNumberFormat="1" applyFont="1" applyFill="1" applyBorder="1" applyProtection="1">
      <protection hidden="1"/>
    </xf>
    <xf numFmtId="169" fontId="21" fillId="11" borderId="12" xfId="0" applyNumberFormat="1" applyFont="1" applyFill="1" applyBorder="1" applyProtection="1">
      <protection hidden="1"/>
    </xf>
    <xf numFmtId="0" fontId="21" fillId="11" borderId="0" xfId="0" applyFont="1" applyFill="1" applyBorder="1" applyProtection="1"/>
    <xf numFmtId="169" fontId="21" fillId="11" borderId="15" xfId="0" applyNumberFormat="1" applyFont="1" applyFill="1" applyBorder="1" applyProtection="1"/>
    <xf numFmtId="169" fontId="21" fillId="11" borderId="1" xfId="0" applyNumberFormat="1" applyFont="1" applyFill="1" applyBorder="1" applyProtection="1">
      <protection hidden="1"/>
    </xf>
    <xf numFmtId="0" fontId="21" fillId="11" borderId="3" xfId="0" applyFont="1" applyFill="1" applyBorder="1" applyProtection="1"/>
    <xf numFmtId="169" fontId="21" fillId="11" borderId="20" xfId="0" applyNumberFormat="1" applyFont="1" applyFill="1" applyBorder="1" applyProtection="1">
      <protection hidden="1"/>
    </xf>
    <xf numFmtId="0" fontId="4" fillId="11" borderId="2" xfId="0" quotePrefix="1" applyFont="1" applyFill="1" applyBorder="1" applyAlignment="1" applyProtection="1">
      <alignment horizontal="left"/>
    </xf>
    <xf numFmtId="169" fontId="21" fillId="11" borderId="0" xfId="0" applyNumberFormat="1" applyFont="1" applyFill="1" applyBorder="1" applyProtection="1">
      <protection hidden="1"/>
    </xf>
    <xf numFmtId="0" fontId="2" fillId="5" borderId="15" xfId="0" applyFont="1" applyFill="1" applyBorder="1" applyAlignment="1" applyProtection="1">
      <alignment vertical="top"/>
    </xf>
    <xf numFmtId="0" fontId="2" fillId="5" borderId="12" xfId="0" applyFont="1" applyFill="1" applyBorder="1" applyAlignment="1" applyProtection="1">
      <alignment vertical="top"/>
    </xf>
    <xf numFmtId="0" fontId="2" fillId="5" borderId="44" xfId="0" applyFont="1" applyFill="1" applyBorder="1" applyAlignment="1" applyProtection="1"/>
    <xf numFmtId="0" fontId="2" fillId="5" borderId="45" xfId="0" applyFont="1" applyFill="1" applyBorder="1" applyAlignment="1" applyProtection="1"/>
    <xf numFmtId="0" fontId="19" fillId="5" borderId="9" xfId="0" applyFont="1" applyFill="1" applyBorder="1" applyAlignment="1" applyProtection="1"/>
    <xf numFmtId="0" fontId="19" fillId="5" borderId="0" xfId="0" applyFont="1" applyFill="1" applyBorder="1" applyAlignment="1" applyProtection="1"/>
    <xf numFmtId="0" fontId="2" fillId="5" borderId="0" xfId="0" applyFont="1" applyFill="1" applyBorder="1" applyAlignment="1" applyProtection="1">
      <alignment vertical="top"/>
    </xf>
    <xf numFmtId="0" fontId="2" fillId="5" borderId="11" xfId="0" applyFont="1" applyFill="1" applyBorder="1" applyAlignment="1" applyProtection="1">
      <alignment vertical="top"/>
    </xf>
    <xf numFmtId="0" fontId="2" fillId="5" borderId="1" xfId="0" applyFont="1" applyFill="1" applyBorder="1" applyAlignment="1" applyProtection="1">
      <alignment vertical="top"/>
    </xf>
    <xf numFmtId="0" fontId="2" fillId="12" borderId="45" xfId="0" applyFont="1" applyFill="1" applyBorder="1" applyAlignment="1" applyProtection="1"/>
    <xf numFmtId="0" fontId="2" fillId="12" borderId="11" xfId="0" applyFont="1" applyFill="1" applyBorder="1" applyAlignment="1" applyProtection="1">
      <alignment vertical="top"/>
    </xf>
    <xf numFmtId="0" fontId="0" fillId="12" borderId="0" xfId="0" applyFill="1">
      <protection locked="0"/>
    </xf>
    <xf numFmtId="0" fontId="19" fillId="12" borderId="0" xfId="0" applyFont="1" applyFill="1" applyBorder="1" applyAlignment="1" applyProtection="1"/>
    <xf numFmtId="0" fontId="2" fillId="12" borderId="15" xfId="0" applyFont="1" applyFill="1" applyBorder="1" applyAlignment="1" applyProtection="1">
      <alignment vertical="top"/>
    </xf>
    <xf numFmtId="0" fontId="2" fillId="12" borderId="9" xfId="0" applyFont="1" applyFill="1" applyBorder="1" applyProtection="1"/>
    <xf numFmtId="0" fontId="2" fillId="12" borderId="0" xfId="0" applyFont="1" applyFill="1" applyBorder="1" applyProtection="1"/>
    <xf numFmtId="0" fontId="2" fillId="12" borderId="0" xfId="0" applyFont="1" applyFill="1" applyBorder="1" applyAlignment="1" applyProtection="1">
      <alignment vertical="top"/>
    </xf>
    <xf numFmtId="0" fontId="2" fillId="12" borderId="10" xfId="0" applyFont="1" applyFill="1" applyBorder="1" applyProtection="1"/>
    <xf numFmtId="0" fontId="2" fillId="12" borderId="1" xfId="0" applyFont="1" applyFill="1" applyBorder="1" applyProtection="1"/>
    <xf numFmtId="0" fontId="2" fillId="12" borderId="1" xfId="0" applyFont="1" applyFill="1" applyBorder="1" applyAlignment="1" applyProtection="1">
      <alignment vertical="top"/>
    </xf>
    <xf numFmtId="0" fontId="2" fillId="12" borderId="12" xfId="0" applyFont="1" applyFill="1" applyBorder="1" applyAlignment="1" applyProtection="1">
      <alignment vertical="top"/>
    </xf>
    <xf numFmtId="0" fontId="4" fillId="12" borderId="44" xfId="0" applyFont="1" applyFill="1" applyBorder="1" applyAlignment="1" applyProtection="1"/>
    <xf numFmtId="0" fontId="22" fillId="12" borderId="9" xfId="0" applyFont="1" applyFill="1" applyBorder="1" applyAlignment="1" applyProtection="1"/>
    <xf numFmtId="0" fontId="4" fillId="2" borderId="0" xfId="0" applyFont="1" applyFill="1" applyBorder="1" applyAlignment="1" applyProtection="1">
      <alignment horizontal="left"/>
    </xf>
    <xf numFmtId="0" fontId="23" fillId="5" borderId="44" xfId="0" applyFont="1" applyFill="1" applyBorder="1" applyAlignment="1" applyProtection="1">
      <alignment horizontal="centerContinuous" vertical="center"/>
    </xf>
    <xf numFmtId="0" fontId="0" fillId="5" borderId="9" xfId="0" applyFont="1" applyFill="1" applyBorder="1">
      <protection locked="0"/>
    </xf>
    <xf numFmtId="0" fontId="0" fillId="5" borderId="10" xfId="0" applyFont="1" applyFill="1" applyBorder="1">
      <protection locked="0"/>
    </xf>
    <xf numFmtId="38" fontId="21" fillId="5" borderId="6" xfId="0" applyNumberFormat="1" applyFont="1" applyFill="1" applyBorder="1" applyProtection="1"/>
    <xf numFmtId="38" fontId="10" fillId="9" borderId="15" xfId="0" applyNumberFormat="1" applyFont="1" applyFill="1" applyBorder="1" applyProtection="1">
      <protection locked="0"/>
    </xf>
    <xf numFmtId="40" fontId="10" fillId="9" borderId="15" xfId="0" applyNumberFormat="1" applyFont="1" applyFill="1" applyBorder="1" applyProtection="1">
      <protection locked="0"/>
    </xf>
    <xf numFmtId="38" fontId="21" fillId="5" borderId="5" xfId="0" applyNumberFormat="1" applyFont="1" applyFill="1" applyBorder="1" applyProtection="1"/>
    <xf numFmtId="38" fontId="10" fillId="9" borderId="12" xfId="0" applyNumberFormat="1" applyFont="1" applyFill="1" applyBorder="1" applyProtection="1">
      <protection locked="0"/>
    </xf>
    <xf numFmtId="40" fontId="10" fillId="9" borderId="12" xfId="0" applyNumberFormat="1" applyFont="1" applyFill="1" applyBorder="1" applyProtection="1">
      <protection locked="0"/>
    </xf>
    <xf numFmtId="38" fontId="21" fillId="7" borderId="10" xfId="0" applyNumberFormat="1" applyFont="1" applyFill="1" applyBorder="1" applyAlignment="1" applyProtection="1">
      <alignment horizontal="center"/>
    </xf>
    <xf numFmtId="38" fontId="21" fillId="7" borderId="5" xfId="0" applyNumberFormat="1" applyFont="1" applyFill="1" applyBorder="1" applyAlignment="1" applyProtection="1">
      <alignment horizontal="center"/>
    </xf>
    <xf numFmtId="38" fontId="4" fillId="7" borderId="0" xfId="0" applyNumberFormat="1" applyFont="1" applyFill="1" applyBorder="1" applyAlignment="1" applyProtection="1">
      <alignment horizontal="centerContinuous"/>
    </xf>
    <xf numFmtId="38" fontId="21" fillId="7" borderId="44" xfId="0" applyNumberFormat="1" applyFont="1" applyFill="1" applyBorder="1" applyAlignment="1" applyProtection="1">
      <alignment horizontal="center"/>
    </xf>
    <xf numFmtId="38" fontId="21" fillId="7" borderId="4" xfId="0" applyNumberFormat="1" applyFont="1" applyFill="1" applyBorder="1" applyAlignment="1" applyProtection="1">
      <alignment horizontal="center"/>
    </xf>
    <xf numFmtId="0" fontId="24" fillId="0" borderId="0" xfId="0" applyFont="1">
      <protection locked="0"/>
    </xf>
    <xf numFmtId="0" fontId="25" fillId="0" borderId="0" xfId="0" applyFont="1">
      <protection locked="0"/>
    </xf>
    <xf numFmtId="0" fontId="27" fillId="14" borderId="0" xfId="0" applyFont="1" applyFill="1">
      <protection locked="0"/>
    </xf>
    <xf numFmtId="0" fontId="28" fillId="14" borderId="0" xfId="0" applyFont="1" applyFill="1">
      <protection locked="0"/>
    </xf>
    <xf numFmtId="0" fontId="25" fillId="14" borderId="0" xfId="0" applyFont="1" applyFill="1">
      <protection locked="0"/>
    </xf>
    <xf numFmtId="0" fontId="29" fillId="0" borderId="0" xfId="0" applyFont="1">
      <protection locked="0"/>
    </xf>
    <xf numFmtId="0" fontId="26" fillId="0" borderId="0" xfId="0" applyFont="1">
      <protection locked="0"/>
    </xf>
    <xf numFmtId="0" fontId="31" fillId="0" borderId="0" xfId="0" applyFont="1">
      <protection locked="0"/>
    </xf>
    <xf numFmtId="0" fontId="27" fillId="0" borderId="0" xfId="0" applyFont="1" applyFill="1">
      <protection locked="0"/>
    </xf>
    <xf numFmtId="0" fontId="25" fillId="0" borderId="0" xfId="0" applyFont="1" applyFill="1">
      <protection locked="0"/>
    </xf>
    <xf numFmtId="0" fontId="2" fillId="15" borderId="8" xfId="0" quotePrefix="1" applyFont="1" applyFill="1" applyBorder="1" applyAlignment="1" applyProtection="1">
      <alignment horizontal="left"/>
    </xf>
    <xf numFmtId="0" fontId="2" fillId="15" borderId="8" xfId="0" quotePrefix="1" applyFont="1" applyFill="1" applyBorder="1" applyAlignment="1" applyProtection="1">
      <alignment horizontal="center"/>
    </xf>
    <xf numFmtId="0" fontId="2" fillId="15" borderId="8" xfId="0" applyFont="1" applyFill="1" applyBorder="1" applyAlignment="1" applyProtection="1">
      <alignment horizontal="center"/>
    </xf>
    <xf numFmtId="0" fontId="2" fillId="15" borderId="8" xfId="0" applyFont="1" applyFill="1" applyBorder="1" applyProtection="1"/>
    <xf numFmtId="174" fontId="2" fillId="15" borderId="8" xfId="0" quotePrefix="1" applyNumberFormat="1" applyFont="1" applyFill="1" applyBorder="1" applyAlignment="1" applyProtection="1">
      <alignment horizontal="center"/>
    </xf>
    <xf numFmtId="174" fontId="2" fillId="15" borderId="8" xfId="0" applyNumberFormat="1" applyFont="1" applyFill="1" applyBorder="1" applyAlignment="1" applyProtection="1">
      <alignment horizontal="center"/>
    </xf>
    <xf numFmtId="0" fontId="29" fillId="0" borderId="0" xfId="0" applyFont="1" applyAlignment="1">
      <alignment horizontal="center"/>
      <protection locked="0"/>
    </xf>
    <xf numFmtId="0" fontId="32" fillId="0" borderId="0" xfId="0" applyFont="1" applyAlignment="1">
      <alignment horizontal="center"/>
      <protection locked="0"/>
    </xf>
    <xf numFmtId="0" fontId="2" fillId="0" borderId="1" xfId="0" quotePrefix="1" applyFont="1" applyBorder="1" applyAlignment="1" applyProtection="1">
      <alignment horizontal="center"/>
    </xf>
    <xf numFmtId="0" fontId="10" fillId="9" borderId="2" xfId="0" applyFont="1" applyFill="1" applyBorder="1" applyAlignment="1" applyProtection="1">
      <alignment horizontal="left" vertical="center"/>
      <protection locked="0"/>
    </xf>
    <xf numFmtId="0" fontId="10" fillId="9" borderId="20" xfId="0" applyFont="1" applyFill="1" applyBorder="1" applyAlignment="1" applyProtection="1">
      <alignment horizontal="left" vertical="center"/>
      <protection locked="0"/>
    </xf>
    <xf numFmtId="0" fontId="11" fillId="13" borderId="2" xfId="0" applyFont="1" applyFill="1" applyBorder="1" applyAlignment="1" applyProtection="1">
      <alignment horizontal="right"/>
    </xf>
    <xf numFmtId="0" fontId="11" fillId="13" borderId="3" xfId="0" applyFont="1" applyFill="1" applyBorder="1" applyAlignment="1" applyProtection="1">
      <alignment horizontal="right"/>
    </xf>
    <xf numFmtId="0" fontId="11" fillId="13" borderId="20" xfId="0" applyFont="1" applyFill="1" applyBorder="1" applyAlignment="1" applyProtection="1">
      <alignment horizontal="right"/>
    </xf>
    <xf numFmtId="0" fontId="11" fillId="6" borderId="2" xfId="0" applyFont="1" applyFill="1" applyBorder="1" applyAlignment="1" applyProtection="1">
      <alignment horizontal="right"/>
    </xf>
    <xf numFmtId="0" fontId="11" fillId="6" borderId="3" xfId="0" applyFont="1" applyFill="1" applyBorder="1" applyAlignment="1" applyProtection="1">
      <alignment horizontal="right"/>
    </xf>
    <xf numFmtId="0" fontId="11" fillId="6" borderId="20" xfId="0" applyFont="1" applyFill="1" applyBorder="1" applyAlignment="1" applyProtection="1">
      <alignment horizontal="right"/>
    </xf>
    <xf numFmtId="0" fontId="9" fillId="5" borderId="0" xfId="0" applyFont="1" applyFill="1" applyAlignment="1" applyProtection="1">
      <alignment horizontal="center" vertical="top"/>
    </xf>
  </cellXfs>
  <cellStyles count="59">
    <cellStyle name="Benyttet hyperkobling" xfId="2" builtinId="9" hidden="1"/>
    <cellStyle name="Benyttet hyperkobling" xfId="4" builtinId="9" hidden="1"/>
    <cellStyle name="Benyttet hyperkobling" xfId="6" builtinId="9" hidden="1"/>
    <cellStyle name="Benyttet hyperkobling" xfId="8" builtinId="9" hidden="1"/>
    <cellStyle name="Benyttet hyperkobling" xfId="10" builtinId="9" hidden="1"/>
    <cellStyle name="Benyttet hyperkobling" xfId="12" builtinId="9" hidden="1"/>
    <cellStyle name="Benyttet hyperkobling" xfId="14" builtinId="9" hidden="1"/>
    <cellStyle name="Benyttet hyperkobling" xfId="16" builtinId="9" hidden="1"/>
    <cellStyle name="Benyttet hyperkobling" xfId="18" builtinId="9" hidden="1"/>
    <cellStyle name="Benyttet hyperkobling" xfId="20" builtinId="9" hidden="1"/>
    <cellStyle name="Benyttet hyperkobling" xfId="22" builtinId="9" hidden="1"/>
    <cellStyle name="Benyttet hyperkobling" xfId="24" builtinId="9" hidden="1"/>
    <cellStyle name="Benyttet hyperkobling" xfId="26" builtinId="9" hidden="1"/>
    <cellStyle name="Benyttet hyperkobling" xfId="28" builtinId="9" hidden="1"/>
    <cellStyle name="Benyttet hyperkobling" xfId="30" builtinId="9" hidden="1"/>
    <cellStyle name="Benyttet hyperkobling" xfId="32" builtinId="9" hidden="1"/>
    <cellStyle name="Benyttet hyperkobling" xfId="34" builtinId="9" hidden="1"/>
    <cellStyle name="Benyttet hyperkobling" xfId="36" builtinId="9" hidden="1"/>
    <cellStyle name="Benyttet hyperkobling" xfId="38" builtinId="9" hidden="1"/>
    <cellStyle name="Benyttet hyperkobling" xfId="40" builtinId="9" hidden="1"/>
    <cellStyle name="Benyttet hyperkobling" xfId="42" builtinId="9" hidden="1"/>
    <cellStyle name="Benyttet hyperkobling" xfId="44" builtinId="9" hidden="1"/>
    <cellStyle name="Benyttet hyperkobling" xfId="46" builtinId="9" hidden="1"/>
    <cellStyle name="Benyttet hyperkobling" xfId="48" builtinId="9" hidden="1"/>
    <cellStyle name="Benyttet hyperkobling" xfId="50" builtinId="9" hidden="1"/>
    <cellStyle name="Benyttet hyperkobling" xfId="52" builtinId="9" hidden="1"/>
    <cellStyle name="Benyttet hyperkobling" xfId="54" builtinId="9" hidden="1"/>
    <cellStyle name="Benyttet hyperkobling" xfId="56" builtinId="9" hidden="1"/>
    <cellStyle name="Benyttet hyperkobling" xfId="58" builtinId="9" hidden="1"/>
    <cellStyle name="Hyperkobling" xfId="1" builtinId="8" hidden="1"/>
    <cellStyle name="Hyperkobling" xfId="3" builtinId="8" hidden="1"/>
    <cellStyle name="Hyperkobling" xfId="5" builtinId="8" hidden="1"/>
    <cellStyle name="Hyperkobling" xfId="7" builtinId="8" hidden="1"/>
    <cellStyle name="Hyperkobling" xfId="9" builtinId="8" hidden="1"/>
    <cellStyle name="Hyperkobling" xfId="11" builtinId="8" hidden="1"/>
    <cellStyle name="Hyperkobling" xfId="13" builtinId="8" hidden="1"/>
    <cellStyle name="Hyperkobling" xfId="15" builtinId="8" hidden="1"/>
    <cellStyle name="Hyperkobling" xfId="17" builtinId="8" hidden="1"/>
    <cellStyle name="Hyperkobling" xfId="19" builtinId="8" hidden="1"/>
    <cellStyle name="Hyperkobling" xfId="21" builtinId="8" hidden="1"/>
    <cellStyle name="Hyperkobling" xfId="23" builtinId="8" hidden="1"/>
    <cellStyle name="Hyperkobling" xfId="25" builtinId="8" hidden="1"/>
    <cellStyle name="Hyperkobling" xfId="27" builtinId="8" hidden="1"/>
    <cellStyle name="Hyperkobling" xfId="29" builtinId="8" hidden="1"/>
    <cellStyle name="Hyperkobling" xfId="31" builtinId="8" hidden="1"/>
    <cellStyle name="Hyperkobling" xfId="33" builtinId="8" hidden="1"/>
    <cellStyle name="Hyperkobling" xfId="35" builtinId="8" hidden="1"/>
    <cellStyle name="Hyperkobling" xfId="37" builtinId="8" hidden="1"/>
    <cellStyle name="Hyperkobling" xfId="39" builtinId="8" hidden="1"/>
    <cellStyle name="Hyperkobling" xfId="41" builtinId="8" hidden="1"/>
    <cellStyle name="Hyperkobling" xfId="43" builtinId="8" hidden="1"/>
    <cellStyle name="Hyperkobling" xfId="45" builtinId="8" hidden="1"/>
    <cellStyle name="Hyperkobling" xfId="47" builtinId="8" hidden="1"/>
    <cellStyle name="Hyperkobling" xfId="49" builtinId="8" hidden="1"/>
    <cellStyle name="Hyperkobling" xfId="51" builtinId="8" hidden="1"/>
    <cellStyle name="Hyperkobling" xfId="53" builtinId="8" hidden="1"/>
    <cellStyle name="Hyperkobling" xfId="55" builtinId="8" hidden="1"/>
    <cellStyle name="Hyperkobling" xfId="57" builtinId="8" hidden="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666CC"/>
      <color rgb="FF800080"/>
      <color rgb="FF00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06/relationships/vbaProject" Target="vbaProject.bin"/></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Totaldiagram</a:t>
            </a:r>
          </a:p>
        </c:rich>
      </c:tx>
      <c:layout>
        <c:manualLayout>
          <c:xMode val="edge"/>
          <c:yMode val="edge"/>
          <c:x val="0.45174168650353103"/>
          <c:y val="1.9608016527734601E-2"/>
        </c:manualLayout>
      </c:layout>
      <c:overlay val="0"/>
      <c:spPr>
        <a:noFill/>
        <a:ln w="3175">
          <a:noFill/>
          <a:prstDash val="solid"/>
        </a:ln>
        <a:effectLst/>
      </c:spPr>
    </c:title>
    <c:autoTitleDeleted val="0"/>
    <c:plotArea>
      <c:layout>
        <c:manualLayout>
          <c:layoutTarget val="inner"/>
          <c:xMode val="edge"/>
          <c:yMode val="edge"/>
          <c:x val="0.196480938416422"/>
          <c:y val="4.9019764283867798E-2"/>
          <c:w val="0.74780058651026404"/>
          <c:h val="0.61834668940933202"/>
        </c:manualLayout>
      </c:layout>
      <c:lineChart>
        <c:grouping val="standard"/>
        <c:varyColors val="0"/>
        <c:ser>
          <c:idx val="6"/>
          <c:order val="0"/>
          <c:tx>
            <c:strRef>
              <c:f>Markedstilpasning!$AV$97</c:f>
              <c:strCache>
                <c:ptCount val="1"/>
                <c:pt idx="0">
                  <c:v>Sum total inntekt</c:v>
                </c:pt>
              </c:strCache>
            </c:strRef>
          </c:tx>
          <c:spPr>
            <a:ln w="12700">
              <a:solidFill>
                <a:srgbClr val="FF0000"/>
              </a:solidFill>
              <a:prstDash val="solid"/>
            </a:ln>
          </c:spPr>
          <c:marker>
            <c:symbol val="none"/>
          </c:marker>
          <c:cat>
            <c:numRef>
              <c:f>Markedstilpasning!$AU$98:$AU$108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Markedstilpasning!$AV$98:$AV$108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4"/>
          <c:order val="1"/>
          <c:tx>
            <c:strRef>
              <c:f>Markedstilpasning!$AW$97</c:f>
              <c:strCache>
                <c:ptCount val="1"/>
                <c:pt idx="0">
                  <c:v>Sum total kostn.</c:v>
                </c:pt>
              </c:strCache>
            </c:strRef>
          </c:tx>
          <c:spPr>
            <a:ln w="12700">
              <a:solidFill>
                <a:srgbClr val="0000FF"/>
              </a:solidFill>
              <a:prstDash val="solid"/>
            </a:ln>
          </c:spPr>
          <c:marker>
            <c:symbol val="none"/>
          </c:marker>
          <c:cat>
            <c:numRef>
              <c:f>Markedstilpasning!$AU$98:$AU$108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Markedstilpasning!$AW$98:$AW$108</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1"/>
          <c:order val="2"/>
          <c:tx>
            <c:strRef>
              <c:f>Markedstilpasning!$AX$97</c:f>
              <c:strCache>
                <c:ptCount val="1"/>
                <c:pt idx="0">
                  <c:v>Var.totale kostn.</c:v>
                </c:pt>
              </c:strCache>
            </c:strRef>
          </c:tx>
          <c:spPr>
            <a:ln w="12700">
              <a:solidFill>
                <a:srgbClr val="00FF00"/>
              </a:solidFill>
              <a:prstDash val="solid"/>
            </a:ln>
          </c:spPr>
          <c:marker>
            <c:symbol val="none"/>
          </c:marker>
          <c:cat>
            <c:numRef>
              <c:f>Markedstilpasning!$AU$98:$AU$108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Markedstilpasning!$AX$98:$AX$108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3"/>
          <c:order val="3"/>
          <c:tx>
            <c:strRef>
              <c:f>Markedstilpasning!$AY$97</c:f>
              <c:strCache>
                <c:ptCount val="1"/>
                <c:pt idx="0">
                  <c:v>Resultat</c:v>
                </c:pt>
              </c:strCache>
            </c:strRef>
          </c:tx>
          <c:spPr>
            <a:ln w="12700">
              <a:solidFill>
                <a:srgbClr val="FFFF00"/>
              </a:solidFill>
              <a:prstDash val="solid"/>
            </a:ln>
          </c:spPr>
          <c:marker>
            <c:symbol val="none"/>
          </c:marker>
          <c:cat>
            <c:numRef>
              <c:f>Markedstilpasning!$AU$98:$AU$108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Markedstilpasning!$AY$98:$AY$108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8"/>
          <c:order val="4"/>
          <c:tx>
            <c:strRef>
              <c:f>Markedstilpasning!$AZ$97</c:f>
              <c:strCache>
                <c:ptCount val="1"/>
                <c:pt idx="0">
                  <c:v>Faste totale kostn.</c:v>
                </c:pt>
              </c:strCache>
            </c:strRef>
          </c:tx>
          <c:spPr>
            <a:ln w="12700">
              <a:solidFill>
                <a:srgbClr val="8080FF"/>
              </a:solidFill>
              <a:prstDash val="solid"/>
            </a:ln>
          </c:spPr>
          <c:marker>
            <c:symbol val="none"/>
          </c:marker>
          <c:cat>
            <c:numRef>
              <c:f>Markedstilpasning!$AU$98:$AU$108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Markedstilpasning!$AZ$98:$AZ$108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0"/>
          <c:order val="5"/>
          <c:tx>
            <c:strRef>
              <c:f>Markedstilpasning!$BA$97</c:f>
              <c:strCache>
                <c:ptCount val="1"/>
                <c:pt idx="0">
                  <c:v>Ny sum inntekt</c:v>
                </c:pt>
              </c:strCache>
            </c:strRef>
          </c:tx>
          <c:spPr>
            <a:ln w="12700">
              <a:solidFill>
                <a:srgbClr val="FF0000"/>
              </a:solidFill>
              <a:prstDash val="sysDash"/>
            </a:ln>
          </c:spPr>
          <c:marker>
            <c:symbol val="none"/>
          </c:marker>
          <c:cat>
            <c:numRef>
              <c:f>Markedstilpasning!$AU$98:$AU$108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Markedstilpasning!$BA$98:$BA$108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2"/>
          <c:order val="6"/>
          <c:tx>
            <c:strRef>
              <c:f>Markedstilpasning!$BB$97</c:f>
              <c:strCache>
                <c:ptCount val="1"/>
                <c:pt idx="0">
                  <c:v>Ny sum total kostn.</c:v>
                </c:pt>
              </c:strCache>
            </c:strRef>
          </c:tx>
          <c:spPr>
            <a:ln w="12700">
              <a:solidFill>
                <a:srgbClr val="0000FF"/>
              </a:solidFill>
              <a:prstDash val="sysDash"/>
            </a:ln>
          </c:spPr>
          <c:marker>
            <c:symbol val="none"/>
          </c:marker>
          <c:cat>
            <c:numRef>
              <c:f>Markedstilpasning!$AU$98:$AU$108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Markedstilpasning!$BB$98:$BB$108</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5"/>
          <c:order val="7"/>
          <c:tx>
            <c:strRef>
              <c:f>Markedstilpasning!$BC$97</c:f>
              <c:strCache>
                <c:ptCount val="1"/>
                <c:pt idx="0">
                  <c:v>Nye var. totale kostn.</c:v>
                </c:pt>
              </c:strCache>
            </c:strRef>
          </c:tx>
          <c:spPr>
            <a:ln w="12700">
              <a:solidFill>
                <a:srgbClr val="00FF00"/>
              </a:solidFill>
              <a:prstDash val="sysDash"/>
            </a:ln>
          </c:spPr>
          <c:marker>
            <c:symbol val="none"/>
          </c:marker>
          <c:cat>
            <c:numRef>
              <c:f>Markedstilpasning!$AU$98:$AU$108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Markedstilpasning!$BC$98:$BC$108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7"/>
          <c:order val="8"/>
          <c:tx>
            <c:strRef>
              <c:f>Markedstilpasning!$BD$97</c:f>
              <c:strCache>
                <c:ptCount val="1"/>
                <c:pt idx="0">
                  <c:v>Nytt resultat</c:v>
                </c:pt>
              </c:strCache>
            </c:strRef>
          </c:tx>
          <c:spPr>
            <a:ln w="12700">
              <a:solidFill>
                <a:srgbClr val="FFFF00"/>
              </a:solidFill>
              <a:prstDash val="sysDash"/>
            </a:ln>
          </c:spPr>
          <c:marker>
            <c:symbol val="none"/>
          </c:marker>
          <c:cat>
            <c:numRef>
              <c:f>Markedstilpasning!$AU$98:$AU$108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Markedstilpasning!$BD$98:$BD$108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9"/>
          <c:order val="9"/>
          <c:tx>
            <c:strRef>
              <c:f>Markedstilpasning!$BE$97</c:f>
              <c:strCache>
                <c:ptCount val="1"/>
                <c:pt idx="0">
                  <c:v>Nye faste totale kostn.</c:v>
                </c:pt>
              </c:strCache>
            </c:strRef>
          </c:tx>
          <c:spPr>
            <a:ln w="12700">
              <a:solidFill>
                <a:srgbClr val="8080FF"/>
              </a:solidFill>
              <a:prstDash val="sysDash"/>
            </a:ln>
          </c:spPr>
          <c:marker>
            <c:symbol val="none"/>
          </c:marker>
          <c:cat>
            <c:numRef>
              <c:f>Markedstilpasning!$AU$98:$AU$108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Markedstilpasning!$BE$98:$BE$108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dLbls>
          <c:showLegendKey val="0"/>
          <c:showVal val="0"/>
          <c:showCatName val="0"/>
          <c:showSerName val="0"/>
          <c:showPercent val="0"/>
          <c:showBubbleSize val="0"/>
        </c:dLbls>
        <c:marker val="1"/>
        <c:smooth val="0"/>
        <c:axId val="47137920"/>
        <c:axId val="47139456"/>
      </c:lineChart>
      <c:catAx>
        <c:axId val="47137920"/>
        <c:scaling>
          <c:orientation val="minMax"/>
        </c:scaling>
        <c:delete val="0"/>
        <c:axPos val="b"/>
        <c:numFmt formatCode="#,##0;[Red]#,##0" sourceLinked="0"/>
        <c:majorTickMark val="cross"/>
        <c:minorTickMark val="in"/>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nb-NO"/>
          </a:p>
        </c:txPr>
        <c:crossAx val="47139456"/>
        <c:crosses val="autoZero"/>
        <c:auto val="0"/>
        <c:lblAlgn val="ctr"/>
        <c:lblOffset val="100"/>
        <c:tickLblSkip val="1"/>
        <c:tickMarkSkip val="1"/>
        <c:noMultiLvlLbl val="0"/>
      </c:catAx>
      <c:valAx>
        <c:axId val="47139456"/>
        <c:scaling>
          <c:orientation val="minMax"/>
        </c:scaling>
        <c:delete val="0"/>
        <c:axPos val="l"/>
        <c:numFmt formatCode="#,##0;[Red]\-#,###;\ " sourceLinked="0"/>
        <c:majorTickMark val="cross"/>
        <c:minorTickMark val="in"/>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47137920"/>
        <c:crosses val="autoZero"/>
        <c:crossBetween val="midCat"/>
      </c:valAx>
      <c:spPr>
        <a:solidFill>
          <a:srgbClr val="FFFFFF"/>
        </a:solidFill>
        <a:ln w="12700">
          <a:solidFill>
            <a:srgbClr val="FFFFFF"/>
          </a:solidFill>
          <a:prstDash val="solid"/>
        </a:ln>
      </c:spPr>
    </c:plotArea>
    <c:legend>
      <c:legendPos val="r"/>
      <c:layout>
        <c:manualLayout>
          <c:xMode val="edge"/>
          <c:yMode val="edge"/>
          <c:x val="9.3641754861379503E-2"/>
          <c:y val="0.80916957827813396"/>
          <c:w val="0.86629169363337399"/>
          <c:h val="0.16562615039766901"/>
        </c:manualLayout>
      </c:layout>
      <c:overlay val="0"/>
      <c:spPr>
        <a:solidFill>
          <a:srgbClr val="FFFFFF"/>
        </a:solidFill>
        <a:ln w="3175">
          <a:noFill/>
          <a:prstDash val="solid"/>
        </a:ln>
      </c:spPr>
      <c:txPr>
        <a:bodyPr/>
        <a:lstStyle/>
        <a:p>
          <a:pPr>
            <a:defRPr sz="505" b="0" i="0" u="none" strike="noStrike" baseline="0">
              <a:solidFill>
                <a:srgbClr val="000000"/>
              </a:solidFill>
              <a:latin typeface="Arial"/>
              <a:ea typeface="Arial"/>
              <a:cs typeface="Arial"/>
            </a:defRPr>
          </a:pPr>
          <a:endParaRPr lang="nb-NO"/>
        </a:p>
      </c:txPr>
    </c:legend>
    <c:plotVisOnly val="0"/>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Arial"/>
          <a:ea typeface="Arial"/>
          <a:cs typeface="Arial"/>
        </a:defRPr>
      </a:pPr>
      <a:endParaRPr lang="nb-NO"/>
    </a:p>
  </c:txPr>
  <c:printSettings>
    <c:headerFooter>
      <c:oddHeader>&amp;A</c:oddHeader>
      <c:oddFooter>Side &amp;P</c:oddFooter>
    </c:headerFooter>
    <c:pageMargins b="0.984251969" l="0.78740157499999996" r="0.78740157499999996" t="0.984251969"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Enhetsdiagram</a:t>
            </a:r>
          </a:p>
        </c:rich>
      </c:tx>
      <c:layout>
        <c:manualLayout>
          <c:xMode val="edge"/>
          <c:yMode val="edge"/>
          <c:x val="0.42476240744017901"/>
          <c:y val="2.3774606299212599E-2"/>
        </c:manualLayout>
      </c:layout>
      <c:overlay val="0"/>
      <c:spPr>
        <a:noFill/>
        <a:ln w="3175">
          <a:noFill/>
          <a:prstDash val="solid"/>
        </a:ln>
        <a:effectLst/>
      </c:spPr>
    </c:title>
    <c:autoTitleDeleted val="0"/>
    <c:plotArea>
      <c:layout>
        <c:manualLayout>
          <c:layoutTarget val="inner"/>
          <c:xMode val="edge"/>
          <c:yMode val="edge"/>
          <c:x val="0.144543189249139"/>
          <c:y val="4.9019764283867798E-2"/>
          <c:w val="0.76696386132196404"/>
          <c:h val="0.58114370078740196"/>
        </c:manualLayout>
      </c:layout>
      <c:lineChart>
        <c:grouping val="standard"/>
        <c:varyColors val="0"/>
        <c:ser>
          <c:idx val="2"/>
          <c:order val="0"/>
          <c:tx>
            <c:strRef>
              <c:f>Markedstilpasning!$AV$111</c:f>
              <c:strCache>
                <c:ptCount val="1"/>
                <c:pt idx="0">
                  <c:v>Pris hjemme</c:v>
                </c:pt>
              </c:strCache>
            </c:strRef>
          </c:tx>
          <c:spPr>
            <a:ln w="12700">
              <a:solidFill>
                <a:srgbClr val="FF0000"/>
              </a:solidFill>
              <a:prstDash val="solid"/>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Markedstilpasning!$AV$112:$AV$122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4"/>
          <c:order val="1"/>
          <c:tx>
            <c:strRef>
              <c:f>Markedstilpasning!$AW$111</c:f>
              <c:strCache>
                <c:ptCount val="1"/>
                <c:pt idx="0">
                  <c:v>Sum enh. kostn</c:v>
                </c:pt>
              </c:strCache>
            </c:strRef>
          </c:tx>
          <c:spPr>
            <a:ln w="12700">
              <a:solidFill>
                <a:srgbClr val="0000FF"/>
              </a:solidFill>
              <a:prstDash val="solid"/>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Markedstilpasning!$AW$112:$AW$122</c:f>
              <c:numCache>
                <c:formatCode>#,##0_);[Red]\(#,##0\)</c:formatCode>
                <c:ptCount val="11"/>
                <c:pt idx="1">
                  <c:v>0</c:v>
                </c:pt>
                <c:pt idx="2">
                  <c:v>0</c:v>
                </c:pt>
                <c:pt idx="3">
                  <c:v>0</c:v>
                </c:pt>
                <c:pt idx="4">
                  <c:v>0</c:v>
                </c:pt>
                <c:pt idx="5">
                  <c:v>0</c:v>
                </c:pt>
                <c:pt idx="6">
                  <c:v>0</c:v>
                </c:pt>
                <c:pt idx="7">
                  <c:v>0</c:v>
                </c:pt>
                <c:pt idx="8">
                  <c:v>0</c:v>
                </c:pt>
                <c:pt idx="9">
                  <c:v>0</c:v>
                </c:pt>
                <c:pt idx="10">
                  <c:v>0</c:v>
                </c:pt>
              </c:numCache>
            </c:numRef>
          </c:val>
          <c:smooth val="1"/>
        </c:ser>
        <c:ser>
          <c:idx val="7"/>
          <c:order val="2"/>
          <c:tx>
            <c:strRef>
              <c:f>Markedstilpasning!$AX$111</c:f>
              <c:strCache>
                <c:ptCount val="1"/>
                <c:pt idx="0">
                  <c:v>Variable enh. kostn</c:v>
                </c:pt>
              </c:strCache>
            </c:strRef>
          </c:tx>
          <c:spPr>
            <a:ln w="12700">
              <a:solidFill>
                <a:srgbClr val="00FF00"/>
              </a:solidFill>
              <a:prstDash val="solid"/>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Markedstilpasning!$AX$112:$AX$122</c:f>
              <c:numCache>
                <c:formatCode>#,##0_);[Red]\(#,##0\)</c:formatCode>
                <c:ptCount val="11"/>
                <c:pt idx="1">
                  <c:v>0</c:v>
                </c:pt>
                <c:pt idx="2">
                  <c:v>0</c:v>
                </c:pt>
                <c:pt idx="3">
                  <c:v>0</c:v>
                </c:pt>
                <c:pt idx="4">
                  <c:v>0</c:v>
                </c:pt>
                <c:pt idx="5">
                  <c:v>0</c:v>
                </c:pt>
                <c:pt idx="6">
                  <c:v>0</c:v>
                </c:pt>
                <c:pt idx="7">
                  <c:v>0</c:v>
                </c:pt>
                <c:pt idx="8">
                  <c:v>0</c:v>
                </c:pt>
                <c:pt idx="9">
                  <c:v>0</c:v>
                </c:pt>
                <c:pt idx="10">
                  <c:v>0</c:v>
                </c:pt>
              </c:numCache>
            </c:numRef>
          </c:val>
          <c:smooth val="1"/>
        </c:ser>
        <c:ser>
          <c:idx val="1"/>
          <c:order val="3"/>
          <c:tx>
            <c:strRef>
              <c:f>Markedstilpasning!$AY$111</c:f>
              <c:strCache>
                <c:ptCount val="1"/>
                <c:pt idx="0">
                  <c:v>Differanseenh.kostn</c:v>
                </c:pt>
              </c:strCache>
            </c:strRef>
          </c:tx>
          <c:spPr>
            <a:ln w="12700">
              <a:solidFill>
                <a:srgbClr val="00FFFF"/>
              </a:solidFill>
              <a:prstDash val="solid"/>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Markedstilpasning!$AY$112:$AY$121</c:f>
              <c:numCache>
                <c:formatCode>#,##0_);[Red]\(#,##0\)</c:formatCode>
                <c:ptCount val="10"/>
                <c:pt idx="1">
                  <c:v>0</c:v>
                </c:pt>
                <c:pt idx="2">
                  <c:v>0</c:v>
                </c:pt>
                <c:pt idx="3">
                  <c:v>0</c:v>
                </c:pt>
                <c:pt idx="4">
                  <c:v>0</c:v>
                </c:pt>
                <c:pt idx="5">
                  <c:v>0</c:v>
                </c:pt>
                <c:pt idx="6">
                  <c:v>0</c:v>
                </c:pt>
                <c:pt idx="7">
                  <c:v>0</c:v>
                </c:pt>
                <c:pt idx="8">
                  <c:v>0</c:v>
                </c:pt>
                <c:pt idx="9">
                  <c:v>0</c:v>
                </c:pt>
              </c:numCache>
            </c:numRef>
          </c:val>
          <c:smooth val="1"/>
        </c:ser>
        <c:ser>
          <c:idx val="9"/>
          <c:order val="4"/>
          <c:tx>
            <c:strRef>
              <c:f>Markedstilpasning!$AZ$111</c:f>
              <c:strCache>
                <c:ptCount val="1"/>
                <c:pt idx="0">
                  <c:v>DEI hjemme</c:v>
                </c:pt>
              </c:strCache>
            </c:strRef>
          </c:tx>
          <c:spPr>
            <a:ln w="12700">
              <a:solidFill>
                <a:schemeClr val="accent4"/>
              </a:solidFill>
              <a:prstDash val="solid"/>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Markedstilpasning!$AZ$112:$AZ$121</c:f>
              <c:numCache>
                <c:formatCode>#,##0_);[Red]\(#,##0\)</c:formatCode>
                <c:ptCount val="10"/>
                <c:pt idx="1">
                  <c:v>0</c:v>
                </c:pt>
                <c:pt idx="2">
                  <c:v>0</c:v>
                </c:pt>
                <c:pt idx="3">
                  <c:v>0</c:v>
                </c:pt>
                <c:pt idx="4">
                  <c:v>0</c:v>
                </c:pt>
                <c:pt idx="5">
                  <c:v>0</c:v>
                </c:pt>
                <c:pt idx="6">
                  <c:v>0</c:v>
                </c:pt>
                <c:pt idx="7">
                  <c:v>0</c:v>
                </c:pt>
                <c:pt idx="8">
                  <c:v>0</c:v>
                </c:pt>
                <c:pt idx="9">
                  <c:v>0</c:v>
                </c:pt>
              </c:numCache>
            </c:numRef>
          </c:val>
          <c:smooth val="1"/>
        </c:ser>
        <c:ser>
          <c:idx val="3"/>
          <c:order val="5"/>
          <c:tx>
            <c:strRef>
              <c:f>Markedstilpasning!$BA$111</c:f>
              <c:strCache>
                <c:ptCount val="1"/>
                <c:pt idx="0">
                  <c:v>Pris=DEI utlandet</c:v>
                </c:pt>
              </c:strCache>
            </c:strRef>
          </c:tx>
          <c:spPr>
            <a:ln w="12700">
              <a:solidFill>
                <a:schemeClr val="accent6">
                  <a:lumMod val="75000"/>
                </a:schemeClr>
              </a:solidFill>
              <a:prstDash val="sysDash"/>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Markedstilpasning!$BA$112:$BA$122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5"/>
          <c:order val="6"/>
          <c:tx>
            <c:strRef>
              <c:f>Markedstilpasning!$BB$111</c:f>
              <c:strCache>
                <c:ptCount val="1"/>
                <c:pt idx="0">
                  <c:v>Ny pris hjemme</c:v>
                </c:pt>
              </c:strCache>
            </c:strRef>
          </c:tx>
          <c:spPr>
            <a:ln w="12700">
              <a:solidFill>
                <a:srgbClr val="FF0000"/>
              </a:solidFill>
              <a:prstDash val="sysDash"/>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Markedstilpasning!$BB$112:$BB$122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8"/>
          <c:order val="7"/>
          <c:tx>
            <c:strRef>
              <c:f>Markedstilpasning!$BC$111</c:f>
              <c:strCache>
                <c:ptCount val="1"/>
                <c:pt idx="0">
                  <c:v>Nye sum enh. kostn</c:v>
                </c:pt>
              </c:strCache>
            </c:strRef>
          </c:tx>
          <c:spPr>
            <a:ln w="12700">
              <a:solidFill>
                <a:srgbClr val="0000FF"/>
              </a:solidFill>
              <a:prstDash val="sysDash"/>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Markedstilpasning!$BC$112:$BC$122</c:f>
              <c:numCache>
                <c:formatCode>#,##0_);[Red]\(#,##0\)</c:formatCode>
                <c:ptCount val="11"/>
                <c:pt idx="1">
                  <c:v>0</c:v>
                </c:pt>
                <c:pt idx="2">
                  <c:v>0</c:v>
                </c:pt>
                <c:pt idx="3">
                  <c:v>0</c:v>
                </c:pt>
                <c:pt idx="4">
                  <c:v>0</c:v>
                </c:pt>
                <c:pt idx="5">
                  <c:v>0</c:v>
                </c:pt>
                <c:pt idx="6">
                  <c:v>0</c:v>
                </c:pt>
                <c:pt idx="7">
                  <c:v>0</c:v>
                </c:pt>
                <c:pt idx="8">
                  <c:v>0</c:v>
                </c:pt>
                <c:pt idx="9">
                  <c:v>0</c:v>
                </c:pt>
                <c:pt idx="10">
                  <c:v>0</c:v>
                </c:pt>
              </c:numCache>
            </c:numRef>
          </c:val>
          <c:smooth val="1"/>
        </c:ser>
        <c:ser>
          <c:idx val="10"/>
          <c:order val="8"/>
          <c:tx>
            <c:strRef>
              <c:f>Markedstilpasning!$BD$111</c:f>
              <c:strCache>
                <c:ptCount val="1"/>
                <c:pt idx="0">
                  <c:v>Nye variable enh. kostn.</c:v>
                </c:pt>
              </c:strCache>
            </c:strRef>
          </c:tx>
          <c:spPr>
            <a:ln w="12700">
              <a:solidFill>
                <a:srgbClr val="00FF00"/>
              </a:solidFill>
              <a:prstDash val="sysDash"/>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Markedstilpasning!$BD$112:$BD$122</c:f>
              <c:numCache>
                <c:formatCode>#,##0_);[Red]\(#,##0\)</c:formatCode>
                <c:ptCount val="11"/>
                <c:pt idx="1">
                  <c:v>0</c:v>
                </c:pt>
                <c:pt idx="2">
                  <c:v>0</c:v>
                </c:pt>
                <c:pt idx="3">
                  <c:v>0</c:v>
                </c:pt>
                <c:pt idx="4">
                  <c:v>0</c:v>
                </c:pt>
                <c:pt idx="5">
                  <c:v>0</c:v>
                </c:pt>
                <c:pt idx="6">
                  <c:v>0</c:v>
                </c:pt>
                <c:pt idx="7">
                  <c:v>0</c:v>
                </c:pt>
                <c:pt idx="8">
                  <c:v>0</c:v>
                </c:pt>
                <c:pt idx="9">
                  <c:v>0</c:v>
                </c:pt>
                <c:pt idx="10">
                  <c:v>0</c:v>
                </c:pt>
              </c:numCache>
            </c:numRef>
          </c:val>
          <c:smooth val="1"/>
        </c:ser>
        <c:ser>
          <c:idx val="11"/>
          <c:order val="9"/>
          <c:tx>
            <c:strRef>
              <c:f>Markedstilpasning!$BE$111</c:f>
              <c:strCache>
                <c:ptCount val="1"/>
                <c:pt idx="0">
                  <c:v>Ny differanseenh. kostn</c:v>
                </c:pt>
              </c:strCache>
            </c:strRef>
          </c:tx>
          <c:spPr>
            <a:ln w="12700">
              <a:solidFill>
                <a:srgbClr val="00FFFF"/>
              </a:solidFill>
              <a:prstDash val="sysDash"/>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Markedstilpasning!$BE$112:$BE$121</c:f>
              <c:numCache>
                <c:formatCode>#,##0_);[Red]\(#,##0\)</c:formatCode>
                <c:ptCount val="10"/>
                <c:pt idx="1">
                  <c:v>0</c:v>
                </c:pt>
                <c:pt idx="2">
                  <c:v>0</c:v>
                </c:pt>
                <c:pt idx="3">
                  <c:v>0</c:v>
                </c:pt>
                <c:pt idx="4">
                  <c:v>0</c:v>
                </c:pt>
                <c:pt idx="5">
                  <c:v>0</c:v>
                </c:pt>
                <c:pt idx="6">
                  <c:v>0</c:v>
                </c:pt>
                <c:pt idx="7">
                  <c:v>0</c:v>
                </c:pt>
                <c:pt idx="8">
                  <c:v>0</c:v>
                </c:pt>
                <c:pt idx="9">
                  <c:v>0</c:v>
                </c:pt>
              </c:numCache>
            </c:numRef>
          </c:val>
          <c:smooth val="1"/>
        </c:ser>
        <c:ser>
          <c:idx val="12"/>
          <c:order val="10"/>
          <c:tx>
            <c:strRef>
              <c:f>Markedstilpasning!$BF$111</c:f>
              <c:strCache>
                <c:ptCount val="1"/>
                <c:pt idx="0">
                  <c:v>Ny DEI hjemme</c:v>
                </c:pt>
              </c:strCache>
            </c:strRef>
          </c:tx>
          <c:spPr>
            <a:ln w="12700">
              <a:solidFill>
                <a:schemeClr val="accent4"/>
              </a:solidFill>
              <a:prstDash val="sysDash"/>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Markedstilpasning!$BF$112:$BF$121</c:f>
              <c:numCache>
                <c:formatCode>#,##0_);[Red]\(#,##0\)</c:formatCode>
                <c:ptCount val="10"/>
                <c:pt idx="1">
                  <c:v>0</c:v>
                </c:pt>
                <c:pt idx="2">
                  <c:v>0</c:v>
                </c:pt>
                <c:pt idx="3">
                  <c:v>0</c:v>
                </c:pt>
                <c:pt idx="4">
                  <c:v>0</c:v>
                </c:pt>
                <c:pt idx="5">
                  <c:v>0</c:v>
                </c:pt>
                <c:pt idx="6">
                  <c:v>0</c:v>
                </c:pt>
                <c:pt idx="7">
                  <c:v>0</c:v>
                </c:pt>
                <c:pt idx="8">
                  <c:v>0</c:v>
                </c:pt>
                <c:pt idx="9">
                  <c:v>0</c:v>
                </c:pt>
              </c:numCache>
            </c:numRef>
          </c:val>
          <c:smooth val="1"/>
        </c:ser>
        <c:dLbls>
          <c:showLegendKey val="0"/>
          <c:showVal val="0"/>
          <c:showCatName val="0"/>
          <c:showSerName val="0"/>
          <c:showPercent val="0"/>
          <c:showBubbleSize val="0"/>
        </c:dLbls>
        <c:marker val="1"/>
        <c:smooth val="0"/>
        <c:axId val="53709440"/>
        <c:axId val="53719424"/>
      </c:lineChart>
      <c:catAx>
        <c:axId val="53709440"/>
        <c:scaling>
          <c:orientation val="minMax"/>
        </c:scaling>
        <c:delete val="0"/>
        <c:axPos val="b"/>
        <c:numFmt formatCode="#,##0;[Red]#,##0" sourceLinked="0"/>
        <c:majorTickMark val="cross"/>
        <c:minorTickMark val="in"/>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nb-NO"/>
          </a:p>
        </c:txPr>
        <c:crossAx val="53719424"/>
        <c:crosses val="autoZero"/>
        <c:auto val="0"/>
        <c:lblAlgn val="ctr"/>
        <c:lblOffset val="100"/>
        <c:tickLblSkip val="1"/>
        <c:tickMarkSkip val="1"/>
        <c:noMultiLvlLbl val="0"/>
      </c:catAx>
      <c:valAx>
        <c:axId val="53719424"/>
        <c:scaling>
          <c:orientation val="minMax"/>
        </c:scaling>
        <c:delete val="0"/>
        <c:axPos val="l"/>
        <c:numFmt formatCode="#,##0;[Red]\-#,###;\ " sourceLinked="0"/>
        <c:majorTickMark val="cross"/>
        <c:minorTickMark val="in"/>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53709440"/>
        <c:crosses val="autoZero"/>
        <c:crossBetween val="midCat"/>
      </c:valAx>
      <c:spPr>
        <a:solidFill>
          <a:srgbClr val="FFFFFF"/>
        </a:solidFill>
        <a:ln w="25400">
          <a:noFill/>
        </a:ln>
      </c:spPr>
    </c:plotArea>
    <c:legend>
      <c:legendPos val="r"/>
      <c:layout>
        <c:manualLayout>
          <c:xMode val="edge"/>
          <c:yMode val="edge"/>
          <c:x val="4.0532034182429099E-3"/>
          <c:y val="0.78911843832021"/>
          <c:w val="0.97991184404774301"/>
          <c:h val="0.19848490813648301"/>
        </c:manualLayout>
      </c:layout>
      <c:overlay val="0"/>
      <c:spPr>
        <a:solidFill>
          <a:srgbClr val="FFFFFF"/>
        </a:solidFill>
        <a:ln w="3175">
          <a:noFill/>
          <a:prstDash val="solid"/>
        </a:ln>
      </c:spPr>
      <c:txPr>
        <a:bodyPr/>
        <a:lstStyle/>
        <a:p>
          <a:pPr>
            <a:defRPr sz="600" b="0" i="0" u="none" strike="noStrike" baseline="0">
              <a:solidFill>
                <a:srgbClr val="000000"/>
              </a:solidFill>
              <a:latin typeface="Arial"/>
              <a:ea typeface="Arial"/>
              <a:cs typeface="Arial"/>
            </a:defRPr>
          </a:pPr>
          <a:endParaRPr lang="nb-NO"/>
        </a:p>
      </c:txPr>
    </c:legend>
    <c:plotVisOnly val="0"/>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Arial"/>
          <a:ea typeface="Arial"/>
          <a:cs typeface="Arial"/>
        </a:defRPr>
      </a:pPr>
      <a:endParaRPr lang="nb-NO"/>
    </a:p>
  </c:txPr>
  <c:printSettings>
    <c:headerFooter>
      <c:oddHeader>&amp;A</c:oddHeader>
      <c:oddFooter>Side &amp;P</c:oddFooter>
    </c:headerFooter>
    <c:pageMargins b="0.984251969" l="0.78740157499999996" r="0.78740157499999996" t="0.984251969"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sz="1400"/>
              <a:t>Enhetsdiagram</a:t>
            </a:r>
          </a:p>
        </c:rich>
      </c:tx>
      <c:layout>
        <c:manualLayout>
          <c:xMode val="edge"/>
          <c:yMode val="edge"/>
          <c:x val="0.46067139073053698"/>
          <c:y val="5.1053504807824501E-2"/>
        </c:manualLayout>
      </c:layout>
      <c:overlay val="0"/>
      <c:spPr>
        <a:solidFill>
          <a:srgbClr val="FFFFFF"/>
        </a:solidFill>
        <a:ln w="3175">
          <a:solidFill>
            <a:srgbClr val="000000"/>
          </a:solidFill>
          <a:prstDash val="solid"/>
        </a:ln>
        <a:effectLst>
          <a:outerShdw dist="35941" dir="2700000" algn="tl" rotWithShape="0">
            <a:srgbClr val="000000"/>
          </a:outerShdw>
        </a:effectLst>
      </c:spPr>
    </c:title>
    <c:autoTitleDeleted val="0"/>
    <c:plotArea>
      <c:layout>
        <c:manualLayout>
          <c:layoutTarget val="inner"/>
          <c:xMode val="edge"/>
          <c:yMode val="edge"/>
          <c:x val="7.9132750811211905E-2"/>
          <c:y val="3.6170231554516902E-2"/>
          <c:w val="0.87489119239841795"/>
          <c:h val="0.78752250459984097"/>
        </c:manualLayout>
      </c:layout>
      <c:lineChart>
        <c:grouping val="standard"/>
        <c:varyColors val="0"/>
        <c:ser>
          <c:idx val="0"/>
          <c:order val="0"/>
          <c:tx>
            <c:strRef>
              <c:f>Markedstilpasning!$AV$111</c:f>
              <c:strCache>
                <c:ptCount val="1"/>
                <c:pt idx="0">
                  <c:v>Pris hjemme</c:v>
                </c:pt>
              </c:strCache>
            </c:strRef>
          </c:tx>
          <c:spPr>
            <a:ln w="12700">
              <a:solidFill>
                <a:srgbClr val="FF0000"/>
              </a:solidFill>
              <a:prstDash val="solid"/>
            </a:ln>
          </c:spPr>
          <c:marker>
            <c:symbol val="square"/>
            <c:size val="5"/>
            <c:spPr>
              <a:solidFill>
                <a:srgbClr val="FFFFFF"/>
              </a:solidFill>
              <a:ln>
                <a:solidFill>
                  <a:srgbClr val="000000"/>
                </a:solidFill>
                <a:prstDash val="solid"/>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Markedstilpasning!$AV$112:$AV$122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6"/>
          <c:order val="1"/>
          <c:tx>
            <c:strRef>
              <c:f>Markedstilpasning!$AW$111</c:f>
              <c:strCache>
                <c:ptCount val="1"/>
                <c:pt idx="0">
                  <c:v>Sum enh. kostn</c:v>
                </c:pt>
              </c:strCache>
            </c:strRef>
          </c:tx>
          <c:spPr>
            <a:ln w="12700">
              <a:solidFill>
                <a:srgbClr val="3366FF"/>
              </a:solidFill>
              <a:prstDash val="solid"/>
            </a:ln>
          </c:spPr>
          <c:marker>
            <c:symbol val="triangle"/>
            <c:size val="5"/>
            <c:spPr>
              <a:noFill/>
              <a:ln>
                <a:solidFill>
                  <a:schemeClr val="tx1"/>
                </a:solidFill>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Markedstilpasning!$AW$112:$AW$122</c:f>
              <c:numCache>
                <c:formatCode>#,##0_);[Red]\(#,##0\)</c:formatCode>
                <c:ptCount val="11"/>
                <c:pt idx="1">
                  <c:v>0</c:v>
                </c:pt>
                <c:pt idx="2">
                  <c:v>0</c:v>
                </c:pt>
                <c:pt idx="3">
                  <c:v>0</c:v>
                </c:pt>
                <c:pt idx="4">
                  <c:v>0</c:v>
                </c:pt>
                <c:pt idx="5">
                  <c:v>0</c:v>
                </c:pt>
                <c:pt idx="6">
                  <c:v>0</c:v>
                </c:pt>
                <c:pt idx="7">
                  <c:v>0</c:v>
                </c:pt>
                <c:pt idx="8">
                  <c:v>0</c:v>
                </c:pt>
                <c:pt idx="9">
                  <c:v>0</c:v>
                </c:pt>
                <c:pt idx="10">
                  <c:v>0</c:v>
                </c:pt>
              </c:numCache>
            </c:numRef>
          </c:val>
          <c:smooth val="1"/>
        </c:ser>
        <c:ser>
          <c:idx val="1"/>
          <c:order val="2"/>
          <c:tx>
            <c:strRef>
              <c:f>Markedstilpasning!$AX$111</c:f>
              <c:strCache>
                <c:ptCount val="1"/>
                <c:pt idx="0">
                  <c:v>Variable enh. kostn</c:v>
                </c:pt>
              </c:strCache>
            </c:strRef>
          </c:tx>
          <c:spPr>
            <a:ln w="12700">
              <a:solidFill>
                <a:srgbClr val="00FF00"/>
              </a:solidFill>
              <a:prstDash val="solid"/>
            </a:ln>
          </c:spPr>
          <c:marker>
            <c:symbol val="circle"/>
            <c:size val="5"/>
            <c:spPr>
              <a:noFill/>
              <a:ln>
                <a:solidFill>
                  <a:schemeClr val="tx1"/>
                </a:solidFill>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Markedstilpasning!$AX$112:$AX$122</c:f>
              <c:numCache>
                <c:formatCode>#,##0_);[Red]\(#,##0\)</c:formatCode>
                <c:ptCount val="11"/>
                <c:pt idx="1">
                  <c:v>0</c:v>
                </c:pt>
                <c:pt idx="2">
                  <c:v>0</c:v>
                </c:pt>
                <c:pt idx="3">
                  <c:v>0</c:v>
                </c:pt>
                <c:pt idx="4">
                  <c:v>0</c:v>
                </c:pt>
                <c:pt idx="5">
                  <c:v>0</c:v>
                </c:pt>
                <c:pt idx="6">
                  <c:v>0</c:v>
                </c:pt>
                <c:pt idx="7">
                  <c:v>0</c:v>
                </c:pt>
                <c:pt idx="8">
                  <c:v>0</c:v>
                </c:pt>
                <c:pt idx="9">
                  <c:v>0</c:v>
                </c:pt>
                <c:pt idx="10">
                  <c:v>0</c:v>
                </c:pt>
              </c:numCache>
            </c:numRef>
          </c:val>
          <c:smooth val="1"/>
        </c:ser>
        <c:ser>
          <c:idx val="4"/>
          <c:order val="3"/>
          <c:tx>
            <c:strRef>
              <c:f>Markedstilpasning!$AY$111</c:f>
              <c:strCache>
                <c:ptCount val="1"/>
                <c:pt idx="0">
                  <c:v>Differanseenh.kostn</c:v>
                </c:pt>
              </c:strCache>
            </c:strRef>
          </c:tx>
          <c:spPr>
            <a:ln w="12700">
              <a:solidFill>
                <a:srgbClr val="00FFFF"/>
              </a:solidFill>
              <a:prstDash val="solid"/>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Markedstilpasning!$AY$112:$AY$121</c:f>
              <c:numCache>
                <c:formatCode>#,##0_);[Red]\(#,##0\)</c:formatCode>
                <c:ptCount val="10"/>
                <c:pt idx="1">
                  <c:v>0</c:v>
                </c:pt>
                <c:pt idx="2">
                  <c:v>0</c:v>
                </c:pt>
                <c:pt idx="3">
                  <c:v>0</c:v>
                </c:pt>
                <c:pt idx="4">
                  <c:v>0</c:v>
                </c:pt>
                <c:pt idx="5">
                  <c:v>0</c:v>
                </c:pt>
                <c:pt idx="6">
                  <c:v>0</c:v>
                </c:pt>
                <c:pt idx="7">
                  <c:v>0</c:v>
                </c:pt>
                <c:pt idx="8">
                  <c:v>0</c:v>
                </c:pt>
                <c:pt idx="9">
                  <c:v>0</c:v>
                </c:pt>
              </c:numCache>
            </c:numRef>
          </c:val>
          <c:smooth val="1"/>
        </c:ser>
        <c:ser>
          <c:idx val="3"/>
          <c:order val="4"/>
          <c:tx>
            <c:strRef>
              <c:f>Markedstilpasning!$AZ$111</c:f>
              <c:strCache>
                <c:ptCount val="1"/>
                <c:pt idx="0">
                  <c:v>DEI hjemme</c:v>
                </c:pt>
              </c:strCache>
            </c:strRef>
          </c:tx>
          <c:spPr>
            <a:ln w="12700">
              <a:solidFill>
                <a:schemeClr val="accent4"/>
              </a:solidFill>
              <a:prstDash val="solid"/>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Markedstilpasning!$AZ$112:$AZ$121</c:f>
              <c:numCache>
                <c:formatCode>#,##0_);[Red]\(#,##0\)</c:formatCode>
                <c:ptCount val="10"/>
                <c:pt idx="1">
                  <c:v>0</c:v>
                </c:pt>
                <c:pt idx="2">
                  <c:v>0</c:v>
                </c:pt>
                <c:pt idx="3">
                  <c:v>0</c:v>
                </c:pt>
                <c:pt idx="4">
                  <c:v>0</c:v>
                </c:pt>
                <c:pt idx="5">
                  <c:v>0</c:v>
                </c:pt>
                <c:pt idx="6">
                  <c:v>0</c:v>
                </c:pt>
                <c:pt idx="7">
                  <c:v>0</c:v>
                </c:pt>
                <c:pt idx="8">
                  <c:v>0</c:v>
                </c:pt>
                <c:pt idx="9">
                  <c:v>0</c:v>
                </c:pt>
              </c:numCache>
            </c:numRef>
          </c:val>
          <c:smooth val="1"/>
        </c:ser>
        <c:ser>
          <c:idx val="2"/>
          <c:order val="5"/>
          <c:tx>
            <c:strRef>
              <c:f>Markedstilpasning!$BA$111</c:f>
              <c:strCache>
                <c:ptCount val="1"/>
                <c:pt idx="0">
                  <c:v>Pris=DEI utlandet</c:v>
                </c:pt>
              </c:strCache>
            </c:strRef>
          </c:tx>
          <c:spPr>
            <a:ln w="12700">
              <a:solidFill>
                <a:srgbClr val="FFFF00"/>
              </a:solidFill>
              <a:prstDash val="lgDash"/>
            </a:ln>
          </c:spPr>
          <c:marker>
            <c:symbol val="triangle"/>
            <c:size val="5"/>
            <c:spPr>
              <a:solidFill>
                <a:srgbClr val="000000"/>
              </a:solidFill>
              <a:ln>
                <a:solidFill>
                  <a:srgbClr val="000000"/>
                </a:solidFill>
                <a:prstDash val="solid"/>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Markedstilpasning!$BA$112:$BA$122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5"/>
          <c:order val="6"/>
          <c:tx>
            <c:strRef>
              <c:f>Markedstilpasning!$BB$111</c:f>
              <c:strCache>
                <c:ptCount val="1"/>
                <c:pt idx="0">
                  <c:v>Ny pris hjemme</c:v>
                </c:pt>
              </c:strCache>
            </c:strRef>
          </c:tx>
          <c:spPr>
            <a:ln w="12700">
              <a:solidFill>
                <a:srgbClr val="FF0000"/>
              </a:solidFill>
              <a:prstDash val="sysDash"/>
            </a:ln>
          </c:spPr>
          <c:marker>
            <c:symbol val="square"/>
            <c:size val="5"/>
            <c:spPr>
              <a:solidFill>
                <a:srgbClr val="FFFFFF"/>
              </a:solidFill>
              <a:ln>
                <a:solidFill>
                  <a:srgbClr val="000000"/>
                </a:solidFill>
                <a:prstDash val="solid"/>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Markedstilpasning!$BB$112:$BB$122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10"/>
          <c:order val="7"/>
          <c:tx>
            <c:strRef>
              <c:f>Markedstilpasning!$BC$111</c:f>
              <c:strCache>
                <c:ptCount val="1"/>
                <c:pt idx="0">
                  <c:v>Nye sum enh. kostn</c:v>
                </c:pt>
              </c:strCache>
            </c:strRef>
          </c:tx>
          <c:spPr>
            <a:ln w="12700">
              <a:solidFill>
                <a:srgbClr val="3366FF"/>
              </a:solidFill>
              <a:prstDash val="sysDash"/>
            </a:ln>
          </c:spPr>
          <c:marker>
            <c:symbol val="triangle"/>
            <c:size val="5"/>
            <c:spPr>
              <a:noFill/>
              <a:ln>
                <a:solidFill>
                  <a:schemeClr val="tx1"/>
                </a:solidFill>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Markedstilpasning!$BC$112:$BC$122</c:f>
              <c:numCache>
                <c:formatCode>#,##0_);[Red]\(#,##0\)</c:formatCode>
                <c:ptCount val="11"/>
                <c:pt idx="1">
                  <c:v>0</c:v>
                </c:pt>
                <c:pt idx="2">
                  <c:v>0</c:v>
                </c:pt>
                <c:pt idx="3">
                  <c:v>0</c:v>
                </c:pt>
                <c:pt idx="4">
                  <c:v>0</c:v>
                </c:pt>
                <c:pt idx="5">
                  <c:v>0</c:v>
                </c:pt>
                <c:pt idx="6">
                  <c:v>0</c:v>
                </c:pt>
                <c:pt idx="7">
                  <c:v>0</c:v>
                </c:pt>
                <c:pt idx="8">
                  <c:v>0</c:v>
                </c:pt>
                <c:pt idx="9">
                  <c:v>0</c:v>
                </c:pt>
                <c:pt idx="10">
                  <c:v>0</c:v>
                </c:pt>
              </c:numCache>
            </c:numRef>
          </c:val>
          <c:smooth val="1"/>
        </c:ser>
        <c:ser>
          <c:idx val="7"/>
          <c:order val="8"/>
          <c:tx>
            <c:strRef>
              <c:f>Markedstilpasning!$BD$111</c:f>
              <c:strCache>
                <c:ptCount val="1"/>
                <c:pt idx="0">
                  <c:v>Nye variable enh. kostn.</c:v>
                </c:pt>
              </c:strCache>
            </c:strRef>
          </c:tx>
          <c:spPr>
            <a:ln w="12700">
              <a:solidFill>
                <a:srgbClr val="00FF00"/>
              </a:solidFill>
              <a:prstDash val="sysDash"/>
            </a:ln>
          </c:spPr>
          <c:marker>
            <c:symbol val="circle"/>
            <c:size val="5"/>
            <c:spPr>
              <a:solidFill>
                <a:schemeClr val="bg1"/>
              </a:solidFill>
              <a:ln>
                <a:solidFill>
                  <a:schemeClr val="tx1"/>
                </a:solidFill>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Markedstilpasning!$BD$112:$BD$122</c:f>
              <c:numCache>
                <c:formatCode>#,##0_);[Red]\(#,##0\)</c:formatCode>
                <c:ptCount val="11"/>
                <c:pt idx="1">
                  <c:v>0</c:v>
                </c:pt>
                <c:pt idx="2">
                  <c:v>0</c:v>
                </c:pt>
                <c:pt idx="3">
                  <c:v>0</c:v>
                </c:pt>
                <c:pt idx="4">
                  <c:v>0</c:v>
                </c:pt>
                <c:pt idx="5">
                  <c:v>0</c:v>
                </c:pt>
                <c:pt idx="6">
                  <c:v>0</c:v>
                </c:pt>
                <c:pt idx="7">
                  <c:v>0</c:v>
                </c:pt>
                <c:pt idx="8">
                  <c:v>0</c:v>
                </c:pt>
                <c:pt idx="9">
                  <c:v>0</c:v>
                </c:pt>
                <c:pt idx="10">
                  <c:v>0</c:v>
                </c:pt>
              </c:numCache>
            </c:numRef>
          </c:val>
          <c:smooth val="1"/>
        </c:ser>
        <c:ser>
          <c:idx val="8"/>
          <c:order val="9"/>
          <c:tx>
            <c:strRef>
              <c:f>Markedstilpasning!$BE$111</c:f>
              <c:strCache>
                <c:ptCount val="1"/>
                <c:pt idx="0">
                  <c:v>Ny differanseenh. kostn</c:v>
                </c:pt>
              </c:strCache>
            </c:strRef>
          </c:tx>
          <c:spPr>
            <a:ln w="12700">
              <a:solidFill>
                <a:srgbClr val="00FFFF"/>
              </a:solidFill>
              <a:prstDash val="sysDash"/>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Markedstilpasning!$BE$112:$BE$121</c:f>
              <c:numCache>
                <c:formatCode>#,##0_);[Red]\(#,##0\)</c:formatCode>
                <c:ptCount val="10"/>
                <c:pt idx="1">
                  <c:v>0</c:v>
                </c:pt>
                <c:pt idx="2">
                  <c:v>0</c:v>
                </c:pt>
                <c:pt idx="3">
                  <c:v>0</c:v>
                </c:pt>
                <c:pt idx="4">
                  <c:v>0</c:v>
                </c:pt>
                <c:pt idx="5">
                  <c:v>0</c:v>
                </c:pt>
                <c:pt idx="6">
                  <c:v>0</c:v>
                </c:pt>
                <c:pt idx="7">
                  <c:v>0</c:v>
                </c:pt>
                <c:pt idx="8">
                  <c:v>0</c:v>
                </c:pt>
                <c:pt idx="9">
                  <c:v>0</c:v>
                </c:pt>
              </c:numCache>
            </c:numRef>
          </c:val>
          <c:smooth val="1"/>
        </c:ser>
        <c:ser>
          <c:idx val="9"/>
          <c:order val="10"/>
          <c:tx>
            <c:strRef>
              <c:f>Markedstilpasning!$BF$111</c:f>
              <c:strCache>
                <c:ptCount val="1"/>
                <c:pt idx="0">
                  <c:v>Ny DEI hjemme</c:v>
                </c:pt>
              </c:strCache>
            </c:strRef>
          </c:tx>
          <c:spPr>
            <a:ln w="12700">
              <a:solidFill>
                <a:srgbClr val="800080"/>
              </a:solidFill>
              <a:prstDash val="sysDash"/>
            </a:ln>
          </c:spPr>
          <c:marker>
            <c:symbol val="none"/>
          </c:marker>
          <c:dPt>
            <c:idx val="3"/>
            <c:bubble3D val="0"/>
            <c:spPr>
              <a:ln w="12700">
                <a:solidFill>
                  <a:schemeClr val="accent4"/>
                </a:solidFill>
                <a:prstDash val="sysDash"/>
              </a:ln>
            </c:spPr>
          </c:dPt>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Markedstilpasning!$BF$112:$BF$121</c:f>
              <c:numCache>
                <c:formatCode>#,##0_);[Red]\(#,##0\)</c:formatCode>
                <c:ptCount val="10"/>
                <c:pt idx="1">
                  <c:v>0</c:v>
                </c:pt>
                <c:pt idx="2">
                  <c:v>0</c:v>
                </c:pt>
                <c:pt idx="3">
                  <c:v>0</c:v>
                </c:pt>
                <c:pt idx="4">
                  <c:v>0</c:v>
                </c:pt>
                <c:pt idx="5">
                  <c:v>0</c:v>
                </c:pt>
                <c:pt idx="6">
                  <c:v>0</c:v>
                </c:pt>
                <c:pt idx="7">
                  <c:v>0</c:v>
                </c:pt>
                <c:pt idx="8">
                  <c:v>0</c:v>
                </c:pt>
                <c:pt idx="9">
                  <c:v>0</c:v>
                </c:pt>
              </c:numCache>
            </c:numRef>
          </c:val>
          <c:smooth val="1"/>
        </c:ser>
        <c:dLbls>
          <c:showLegendKey val="0"/>
          <c:showVal val="0"/>
          <c:showCatName val="0"/>
          <c:showSerName val="0"/>
          <c:showPercent val="0"/>
          <c:showBubbleSize val="0"/>
        </c:dLbls>
        <c:marker val="1"/>
        <c:smooth val="0"/>
        <c:axId val="94368128"/>
        <c:axId val="94370048"/>
      </c:lineChart>
      <c:catAx>
        <c:axId val="94368128"/>
        <c:scaling>
          <c:orientation val="minMax"/>
        </c:scaling>
        <c:delete val="0"/>
        <c:axPos val="b"/>
        <c:majorGridlines>
          <c:spPr>
            <a:ln w="3175">
              <a:solidFill>
                <a:schemeClr val="bg1">
                  <a:lumMod val="50000"/>
                  <a:alpha val="50000"/>
                </a:schemeClr>
              </a:solidFill>
              <a:prstDash val="solid"/>
            </a:ln>
          </c:spPr>
        </c:majorGridlines>
        <c:minorGridlines>
          <c:spPr>
            <a:ln w="3175">
              <a:solidFill>
                <a:schemeClr val="bg1">
                  <a:lumMod val="85000"/>
                  <a:alpha val="75000"/>
                </a:schemeClr>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sz="1200"/>
                  <a:t>Mengde</a:t>
                </a:r>
              </a:p>
            </c:rich>
          </c:tx>
          <c:layout>
            <c:manualLayout>
              <c:xMode val="edge"/>
              <c:yMode val="edge"/>
              <c:x val="0.481352554811246"/>
              <c:y val="0.88617886448404504"/>
            </c:manualLayout>
          </c:layout>
          <c:overlay val="0"/>
          <c:spPr>
            <a:noFill/>
            <a:ln w="25400">
              <a:noFill/>
            </a:ln>
          </c:spPr>
        </c:title>
        <c:numFmt formatCode="#,##0_);[Red]\(#,##0\)" sourceLinked="1"/>
        <c:majorTickMark val="cross"/>
        <c:minorTickMark val="none"/>
        <c:tickLblPos val="nextTo"/>
        <c:spPr>
          <a:ln w="25400">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nb-NO"/>
          </a:p>
        </c:txPr>
        <c:crossAx val="94370048"/>
        <c:crosses val="autoZero"/>
        <c:auto val="1"/>
        <c:lblAlgn val="ctr"/>
        <c:lblOffset val="100"/>
        <c:tickLblSkip val="1"/>
        <c:tickMarkSkip val="1"/>
        <c:noMultiLvlLbl val="0"/>
      </c:catAx>
      <c:valAx>
        <c:axId val="94370048"/>
        <c:scaling>
          <c:orientation val="minMax"/>
        </c:scaling>
        <c:delete val="0"/>
        <c:axPos val="l"/>
        <c:majorGridlines>
          <c:spPr>
            <a:ln w="3175">
              <a:solidFill>
                <a:schemeClr val="bg1">
                  <a:lumMod val="50000"/>
                  <a:alpha val="50000"/>
                </a:schemeClr>
              </a:solidFill>
              <a:prstDash val="solid"/>
            </a:ln>
          </c:spPr>
        </c:majorGridlines>
        <c:minorGridlines>
          <c:spPr>
            <a:ln w="3175">
              <a:solidFill>
                <a:schemeClr val="bg1">
                  <a:lumMod val="85000"/>
                  <a:alpha val="75000"/>
                </a:schemeClr>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sz="1200" b="1"/>
                  <a:t>Kroner</a:t>
                </a:r>
              </a:p>
            </c:rich>
          </c:tx>
          <c:layout>
            <c:manualLayout>
              <c:xMode val="edge"/>
              <c:yMode val="edge"/>
              <c:x val="5.2246475519674004E-3"/>
              <c:y val="0.44893639358909898"/>
            </c:manualLayout>
          </c:layout>
          <c:overlay val="0"/>
          <c:spPr>
            <a:noFill/>
            <a:ln w="25400">
              <a:noFill/>
            </a:ln>
          </c:spPr>
        </c:title>
        <c:numFmt formatCode="#,##0_ ;[Red]\-#,##0\ " sourceLinked="0"/>
        <c:majorTickMark val="cross"/>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nb-NO"/>
          </a:p>
        </c:txPr>
        <c:crossAx val="94368128"/>
        <c:crosses val="autoZero"/>
        <c:crossBetween val="midCat"/>
      </c:valAx>
      <c:spPr>
        <a:solidFill>
          <a:srgbClr val="FFFFFF"/>
        </a:solidFill>
        <a:ln w="12700">
          <a:noFill/>
          <a:prstDash val="solid"/>
        </a:ln>
      </c:spPr>
    </c:plotArea>
    <c:legend>
      <c:legendPos val="r"/>
      <c:layout>
        <c:manualLayout>
          <c:xMode val="edge"/>
          <c:yMode val="edge"/>
          <c:x val="9.5875722761009793E-2"/>
          <c:y val="0.92286916358544102"/>
          <c:w val="0.85639310011621705"/>
          <c:h val="6.7873253180638096E-2"/>
        </c:manualLayout>
      </c:layout>
      <c:overlay val="0"/>
      <c:spPr>
        <a:solidFill>
          <a:srgbClr val="FFFFFF"/>
        </a:solidFill>
        <a:ln w="3175">
          <a:noFill/>
          <a:prstDash val="solid"/>
        </a:ln>
      </c:spPr>
      <c:txPr>
        <a:bodyPr/>
        <a:lstStyle/>
        <a:p>
          <a:pPr>
            <a:defRPr sz="1000" b="1" i="0" u="none" strike="noStrike" baseline="0">
              <a:solidFill>
                <a:srgbClr val="000000"/>
              </a:solidFill>
              <a:latin typeface="Arial"/>
              <a:ea typeface="Arial"/>
              <a:cs typeface="Arial"/>
            </a:defRPr>
          </a:pPr>
          <a:endParaRPr lang="nb-NO"/>
        </a:p>
      </c:txPr>
    </c:legend>
    <c:plotVisOnly val="0"/>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Arial"/>
          <a:ea typeface="Arial"/>
          <a:cs typeface="Arial"/>
        </a:defRPr>
      </a:pPr>
      <a:endParaRPr lang="nb-NO"/>
    </a:p>
  </c:txPr>
  <c:printSettings>
    <c:headerFooter>
      <c:oddHeader>&amp;A</c:oddHeader>
      <c:oddFooter>Side &amp;P</c:oddFooter>
    </c:headerFooter>
    <c:pageMargins b="0.984251969" l="0.78740157499999996" r="0.78740157499999996" t="0.98425196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sz="1400"/>
              <a:t>Totaldiagram</a:t>
            </a:r>
          </a:p>
        </c:rich>
      </c:tx>
      <c:layout>
        <c:manualLayout>
          <c:xMode val="edge"/>
          <c:yMode val="edge"/>
          <c:x val="0.48178711848768602"/>
          <c:y val="4.1043355932865698E-2"/>
        </c:manualLayout>
      </c:layout>
      <c:overlay val="0"/>
      <c:spPr>
        <a:solidFill>
          <a:srgbClr val="FFFFFF"/>
        </a:solidFill>
        <a:ln w="3175">
          <a:solidFill>
            <a:schemeClr val="tx1"/>
          </a:solidFill>
          <a:prstDash val="solid"/>
        </a:ln>
        <a:effectLst>
          <a:outerShdw blurRad="50800" dist="38100" dir="2700000" algn="tl" rotWithShape="0">
            <a:srgbClr val="000000">
              <a:alpha val="43000"/>
            </a:srgbClr>
          </a:outerShdw>
        </a:effectLst>
      </c:spPr>
    </c:title>
    <c:autoTitleDeleted val="0"/>
    <c:plotArea>
      <c:layout>
        <c:manualLayout>
          <c:layoutTarget val="inner"/>
          <c:xMode val="edge"/>
          <c:yMode val="edge"/>
          <c:x val="0.123522832608408"/>
          <c:y val="2.6282869628826599E-2"/>
          <c:w val="0.81757885050914603"/>
          <c:h val="0.781320868589227"/>
        </c:manualLayout>
      </c:layout>
      <c:lineChart>
        <c:grouping val="standard"/>
        <c:varyColors val="0"/>
        <c:ser>
          <c:idx val="4"/>
          <c:order val="0"/>
          <c:tx>
            <c:strRef>
              <c:f>Markedstilpasning!$AV$97</c:f>
              <c:strCache>
                <c:ptCount val="1"/>
                <c:pt idx="0">
                  <c:v>Sum total inntekt</c:v>
                </c:pt>
              </c:strCache>
            </c:strRef>
          </c:tx>
          <c:spPr>
            <a:ln w="12700">
              <a:solidFill>
                <a:srgbClr val="FF0000"/>
              </a:solidFill>
              <a:prstDash val="solid"/>
            </a:ln>
          </c:spPr>
          <c:marker>
            <c:symbol val="square"/>
            <c:size val="5"/>
            <c:spPr>
              <a:solidFill>
                <a:srgbClr val="FFFFFF"/>
              </a:solidFill>
              <a:ln>
                <a:solidFill>
                  <a:srgbClr val="000000"/>
                </a:solidFill>
                <a:prstDash val="solid"/>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Markedstilpasning!$AV$98:$AV$108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2"/>
          <c:order val="1"/>
          <c:tx>
            <c:strRef>
              <c:f>Markedstilpasning!$AW$97</c:f>
              <c:strCache>
                <c:ptCount val="1"/>
                <c:pt idx="0">
                  <c:v>Sum total kostn.</c:v>
                </c:pt>
              </c:strCache>
            </c:strRef>
          </c:tx>
          <c:spPr>
            <a:ln w="12700">
              <a:solidFill>
                <a:srgbClr val="0000FF"/>
              </a:solidFill>
              <a:prstDash val="solid"/>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Markedstilpasning!$AW$98:$AW$108</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5"/>
          <c:order val="2"/>
          <c:tx>
            <c:strRef>
              <c:f>Markedstilpasning!$AX$97</c:f>
              <c:strCache>
                <c:ptCount val="1"/>
                <c:pt idx="0">
                  <c:v>Var.totale kostn.</c:v>
                </c:pt>
              </c:strCache>
            </c:strRef>
          </c:tx>
          <c:spPr>
            <a:ln w="12700">
              <a:solidFill>
                <a:srgbClr val="00FF00"/>
              </a:solidFill>
              <a:prstDash val="solid"/>
            </a:ln>
          </c:spPr>
          <c:marker>
            <c:symbol val="x"/>
            <c:size val="5"/>
            <c:spPr>
              <a:solidFill>
                <a:srgbClr val="FFFFFF"/>
              </a:solidFill>
              <a:ln>
                <a:solidFill>
                  <a:srgbClr val="000000"/>
                </a:solidFill>
                <a:prstDash val="solid"/>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Markedstilpasning!$AX$98:$AX$108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0"/>
          <c:order val="3"/>
          <c:tx>
            <c:strRef>
              <c:f>Markedstilpasning!$AY$97</c:f>
              <c:strCache>
                <c:ptCount val="1"/>
                <c:pt idx="0">
                  <c:v>Resultat</c:v>
                </c:pt>
              </c:strCache>
            </c:strRef>
          </c:tx>
          <c:spPr>
            <a:ln w="12700">
              <a:solidFill>
                <a:srgbClr val="FFFF00"/>
              </a:solidFill>
              <a:prstDash val="solid"/>
            </a:ln>
          </c:spPr>
          <c:marker>
            <c:symbol val="circle"/>
            <c:size val="5"/>
            <c:spPr>
              <a:solidFill>
                <a:srgbClr val="FFFFFF"/>
              </a:solidFill>
              <a:ln>
                <a:solidFill>
                  <a:srgbClr val="000000"/>
                </a:solidFill>
                <a:prstDash val="solid"/>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Markedstilpasning!$AY$98:$AY$108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6"/>
          <c:order val="4"/>
          <c:tx>
            <c:strRef>
              <c:f>Markedstilpasning!$AZ$97</c:f>
              <c:strCache>
                <c:ptCount val="1"/>
                <c:pt idx="0">
                  <c:v>Faste totale kostn.</c:v>
                </c:pt>
              </c:strCache>
            </c:strRef>
          </c:tx>
          <c:spPr>
            <a:ln w="12700">
              <a:solidFill>
                <a:schemeClr val="accent6">
                  <a:lumMod val="75000"/>
                </a:schemeClr>
              </a:solidFill>
              <a:prstDash val="solid"/>
            </a:ln>
          </c:spPr>
          <c:marker>
            <c:symbol val="triangle"/>
            <c:size val="5"/>
            <c:spPr>
              <a:solidFill>
                <a:srgbClr val="FFFFFF"/>
              </a:solidFill>
              <a:ln>
                <a:solidFill>
                  <a:srgbClr val="000000"/>
                </a:solidFill>
                <a:prstDash val="solid"/>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Markedstilpasning!$AZ$98:$AZ$108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3"/>
          <c:order val="5"/>
          <c:tx>
            <c:strRef>
              <c:f>Markedstilpasning!$BA$97</c:f>
              <c:strCache>
                <c:ptCount val="1"/>
                <c:pt idx="0">
                  <c:v>Ny sum inntekt</c:v>
                </c:pt>
              </c:strCache>
            </c:strRef>
          </c:tx>
          <c:spPr>
            <a:ln w="12700">
              <a:solidFill>
                <a:srgbClr val="FF0000"/>
              </a:solidFill>
              <a:prstDash val="sysDash"/>
            </a:ln>
          </c:spPr>
          <c:marker>
            <c:symbol val="square"/>
            <c:size val="5"/>
            <c:spPr>
              <a:solidFill>
                <a:srgbClr val="FFFFFF"/>
              </a:solidFill>
              <a:ln>
                <a:solidFill>
                  <a:srgbClr val="000000"/>
                </a:solidFill>
                <a:prstDash val="solid"/>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Markedstilpasning!$BA$98:$BA$108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1"/>
          <c:order val="6"/>
          <c:tx>
            <c:strRef>
              <c:f>Markedstilpasning!$BB$97</c:f>
              <c:strCache>
                <c:ptCount val="1"/>
                <c:pt idx="0">
                  <c:v>Ny sum total kostn.</c:v>
                </c:pt>
              </c:strCache>
            </c:strRef>
          </c:tx>
          <c:spPr>
            <a:ln w="12700">
              <a:solidFill>
                <a:srgbClr val="0000FF"/>
              </a:solidFill>
              <a:prstDash val="sysDash"/>
            </a:ln>
          </c:spPr>
          <c:marker>
            <c:symbol val="none"/>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Markedstilpasning!$BB$98:$BB$108</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7"/>
          <c:order val="7"/>
          <c:tx>
            <c:strRef>
              <c:f>Markedstilpasning!$BC$97</c:f>
              <c:strCache>
                <c:ptCount val="1"/>
                <c:pt idx="0">
                  <c:v>Nye var. totale kostn.</c:v>
                </c:pt>
              </c:strCache>
            </c:strRef>
          </c:tx>
          <c:spPr>
            <a:ln w="12700">
              <a:solidFill>
                <a:srgbClr val="00FF00"/>
              </a:solidFill>
              <a:prstDash val="sysDash"/>
            </a:ln>
          </c:spPr>
          <c:marker>
            <c:symbol val="x"/>
            <c:size val="5"/>
            <c:spPr>
              <a:solidFill>
                <a:srgbClr val="FFFFFF"/>
              </a:solidFill>
              <a:ln>
                <a:solidFill>
                  <a:srgbClr val="000000"/>
                </a:solidFill>
                <a:prstDash val="solid"/>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Markedstilpasning!$BC$98:$BC$108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9"/>
          <c:order val="8"/>
          <c:tx>
            <c:strRef>
              <c:f>Markedstilpasning!$BD$97</c:f>
              <c:strCache>
                <c:ptCount val="1"/>
                <c:pt idx="0">
                  <c:v>Nytt resultat</c:v>
                </c:pt>
              </c:strCache>
            </c:strRef>
          </c:tx>
          <c:spPr>
            <a:ln w="12700">
              <a:solidFill>
                <a:srgbClr val="FFFF00"/>
              </a:solidFill>
              <a:prstDash val="sysDash"/>
            </a:ln>
          </c:spPr>
          <c:marker>
            <c:symbol val="circle"/>
            <c:size val="5"/>
            <c:spPr>
              <a:solidFill>
                <a:srgbClr val="FFFFFF"/>
              </a:solidFill>
              <a:ln>
                <a:solidFill>
                  <a:srgbClr val="000000"/>
                </a:solidFill>
                <a:prstDash val="solid"/>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Markedstilpasning!$BD$98:$BD$108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ser>
          <c:idx val="8"/>
          <c:order val="9"/>
          <c:tx>
            <c:strRef>
              <c:f>Markedstilpasning!$BE$97</c:f>
              <c:strCache>
                <c:ptCount val="1"/>
                <c:pt idx="0">
                  <c:v>Nye faste totale kostn.</c:v>
                </c:pt>
              </c:strCache>
            </c:strRef>
          </c:tx>
          <c:spPr>
            <a:ln w="12700">
              <a:solidFill>
                <a:schemeClr val="accent6">
                  <a:lumMod val="75000"/>
                </a:schemeClr>
              </a:solidFill>
              <a:prstDash val="sysDash"/>
            </a:ln>
          </c:spPr>
          <c:marker>
            <c:symbol val="triangle"/>
            <c:size val="5"/>
            <c:spPr>
              <a:solidFill>
                <a:srgbClr val="FFFFFF"/>
              </a:solidFill>
              <a:ln>
                <a:solidFill>
                  <a:srgbClr val="000000"/>
                </a:solidFill>
                <a:prstDash val="solid"/>
              </a:ln>
            </c:spPr>
          </c:marker>
          <c:cat>
            <c:numRef>
              <c:f>Markedstilpasning!$AU$112:$AU$122</c:f>
              <c:numCache>
                <c:formatCode>#,##0_);[Red]\(#,##0\)</c:formatCode>
                <c:ptCount val="11"/>
                <c:pt idx="0">
                  <c:v>0</c:v>
                </c:pt>
                <c:pt idx="1">
                  <c:v>0</c:v>
                </c:pt>
                <c:pt idx="2">
                  <c:v>0</c:v>
                </c:pt>
                <c:pt idx="3">
                  <c:v>0</c:v>
                </c:pt>
                <c:pt idx="4">
                  <c:v>0</c:v>
                </c:pt>
                <c:pt idx="5">
                  <c:v>0</c:v>
                </c:pt>
                <c:pt idx="6">
                  <c:v>0</c:v>
                </c:pt>
                <c:pt idx="7">
                  <c:v>0</c:v>
                </c:pt>
                <c:pt idx="8">
                  <c:v>0</c:v>
                </c:pt>
                <c:pt idx="9">
                  <c:v>0</c:v>
                </c:pt>
                <c:pt idx="10">
                  <c:v>0</c:v>
                </c:pt>
              </c:numCache>
            </c:numRef>
          </c:cat>
          <c:val>
            <c:numRef>
              <c:f>Markedstilpasning!$BE$98:$BE$108</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mooth val="1"/>
        </c:ser>
        <c:dLbls>
          <c:showLegendKey val="0"/>
          <c:showVal val="0"/>
          <c:showCatName val="0"/>
          <c:showSerName val="0"/>
          <c:showPercent val="0"/>
          <c:showBubbleSize val="0"/>
        </c:dLbls>
        <c:marker val="1"/>
        <c:smooth val="0"/>
        <c:axId val="95612928"/>
        <c:axId val="95615232"/>
      </c:lineChart>
      <c:catAx>
        <c:axId val="95612928"/>
        <c:scaling>
          <c:orientation val="minMax"/>
        </c:scaling>
        <c:delete val="0"/>
        <c:axPos val="b"/>
        <c:majorGridlines>
          <c:spPr>
            <a:ln w="3175">
              <a:solidFill>
                <a:schemeClr val="bg1">
                  <a:lumMod val="50000"/>
                  <a:alpha val="50000"/>
                </a:schemeClr>
              </a:solidFill>
              <a:prstDash val="solid"/>
            </a:ln>
          </c:spPr>
        </c:majorGridlines>
        <c:minorGridlines>
          <c:spPr>
            <a:ln w="3175">
              <a:solidFill>
                <a:srgbClr val="C0C0C0">
                  <a:alpha val="75000"/>
                </a:srgbClr>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sz="1200"/>
                  <a:t>Mengde</a:t>
                </a:r>
              </a:p>
            </c:rich>
          </c:tx>
          <c:layout>
            <c:manualLayout>
              <c:xMode val="edge"/>
              <c:yMode val="edge"/>
              <c:x val="0.49252196736277498"/>
              <c:y val="0.87427761011141603"/>
            </c:manualLayout>
          </c:layout>
          <c:overlay val="0"/>
          <c:spPr>
            <a:noFill/>
            <a:ln w="25400">
              <a:noFill/>
            </a:ln>
          </c:spPr>
        </c:title>
        <c:numFmt formatCode="#,##0_);[Red]\(#,##0\)" sourceLinked="0"/>
        <c:majorTickMark val="cross"/>
        <c:minorTickMark val="none"/>
        <c:tickLblPos val="nextTo"/>
        <c:spPr>
          <a:ln w="12700">
            <a:solidFill>
              <a:srgbClr val="000000"/>
            </a:solidFill>
            <a:prstDash val="solid"/>
          </a:ln>
        </c:spPr>
        <c:txPr>
          <a:bodyPr rot="0" vert="horz" lIns="0">
            <a:noAutofit/>
          </a:bodyPr>
          <a:lstStyle/>
          <a:p>
            <a:pPr>
              <a:defRPr sz="1000" b="1" i="0" u="none" strike="noStrike" baseline="0">
                <a:solidFill>
                  <a:srgbClr val="000000"/>
                </a:solidFill>
                <a:latin typeface="Arial"/>
                <a:ea typeface="Arial"/>
                <a:cs typeface="Arial"/>
              </a:defRPr>
            </a:pPr>
            <a:endParaRPr lang="nb-NO"/>
          </a:p>
        </c:txPr>
        <c:crossAx val="95615232"/>
        <c:crosses val="autoZero"/>
        <c:auto val="0"/>
        <c:lblAlgn val="ctr"/>
        <c:lblOffset val="100"/>
        <c:tickLblSkip val="1"/>
        <c:tickMarkSkip val="1"/>
        <c:noMultiLvlLbl val="0"/>
      </c:catAx>
      <c:valAx>
        <c:axId val="95615232"/>
        <c:scaling>
          <c:orientation val="minMax"/>
        </c:scaling>
        <c:delete val="0"/>
        <c:axPos val="l"/>
        <c:majorGridlines>
          <c:spPr>
            <a:ln w="3175">
              <a:solidFill>
                <a:schemeClr val="bg1">
                  <a:lumMod val="50000"/>
                  <a:alpha val="50000"/>
                </a:schemeClr>
              </a:solidFill>
              <a:prstDash val="solid"/>
            </a:ln>
          </c:spPr>
        </c:majorGridlines>
        <c:minorGridlines>
          <c:spPr>
            <a:ln w="3175">
              <a:solidFill>
                <a:schemeClr val="bg1">
                  <a:lumMod val="85000"/>
                  <a:alpha val="75000"/>
                </a:schemeClr>
              </a:solidFill>
              <a:prstDash val="solid"/>
            </a:ln>
            <a:effectLst/>
          </c:spPr>
        </c:minorGridlines>
        <c:title>
          <c:tx>
            <c:rich>
              <a:bodyPr/>
              <a:lstStyle/>
              <a:p>
                <a:pPr>
                  <a:defRPr sz="1200" b="1" i="0" u="none" strike="noStrike" baseline="0">
                    <a:solidFill>
                      <a:srgbClr val="000000"/>
                    </a:solidFill>
                    <a:latin typeface="Arial"/>
                    <a:ea typeface="Arial"/>
                    <a:cs typeface="Arial"/>
                  </a:defRPr>
                </a:pPr>
                <a:r>
                  <a:rPr lang="en-US" sz="1200"/>
                  <a:t>Kroner</a:t>
                </a:r>
              </a:p>
            </c:rich>
          </c:tx>
          <c:layout>
            <c:manualLayout>
              <c:xMode val="edge"/>
              <c:yMode val="edge"/>
              <c:x val="6.4020263961183403E-3"/>
              <c:y val="0.42928687105601199"/>
            </c:manualLayout>
          </c:layout>
          <c:overlay val="0"/>
          <c:spPr>
            <a:noFill/>
            <a:ln w="25400">
              <a:noFill/>
            </a:ln>
          </c:spPr>
        </c:title>
        <c:numFmt formatCode="#,##0_ ;[Red]\-#,##0\ " sourceLinked="0"/>
        <c:majorTickMark val="cross"/>
        <c:minorTickMark val="none"/>
        <c:tickLblPos val="nextTo"/>
        <c:spPr>
          <a:ln w="12700">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nb-NO"/>
          </a:p>
        </c:txPr>
        <c:crossAx val="95612928"/>
        <c:crosses val="autoZero"/>
        <c:crossBetween val="midCat"/>
      </c:valAx>
      <c:spPr>
        <a:solidFill>
          <a:srgbClr val="FFFFFF"/>
        </a:solidFill>
        <a:ln w="3175">
          <a:noFill/>
          <a:prstDash val="solid"/>
        </a:ln>
      </c:spPr>
    </c:plotArea>
    <c:legend>
      <c:legendPos val="r"/>
      <c:layout>
        <c:manualLayout>
          <c:xMode val="edge"/>
          <c:yMode val="edge"/>
          <c:x val="0.13065976714100899"/>
          <c:y val="0.91681376313011498"/>
          <c:w val="0.81759379042690805"/>
          <c:h val="7.9645983283504196E-2"/>
        </c:manualLayout>
      </c:layout>
      <c:overlay val="0"/>
      <c:spPr>
        <a:solidFill>
          <a:srgbClr val="FFFFFF"/>
        </a:solidFill>
        <a:ln w="3175">
          <a:noFill/>
          <a:prstDash val="solid"/>
        </a:ln>
      </c:spPr>
      <c:txPr>
        <a:bodyPr/>
        <a:lstStyle/>
        <a:p>
          <a:pPr>
            <a:defRPr sz="1000" b="1" i="0" u="none" strike="noStrike" baseline="0">
              <a:solidFill>
                <a:srgbClr val="000000"/>
              </a:solidFill>
              <a:latin typeface="Arial"/>
              <a:ea typeface="Arial"/>
              <a:cs typeface="Arial"/>
            </a:defRPr>
          </a:pPr>
          <a:endParaRPr lang="nb-NO"/>
        </a:p>
      </c:txPr>
    </c:legend>
    <c:plotVisOnly val="0"/>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Arial"/>
          <a:ea typeface="Arial"/>
          <a:cs typeface="Arial"/>
        </a:defRPr>
      </a:pPr>
      <a:endParaRPr lang="nb-NO"/>
    </a:p>
  </c:txPr>
  <c:printSettings>
    <c:headerFooter>
      <c:oddHeader>&amp;A</c:oddHeader>
      <c:oddFooter>Side &amp;P</c:oddFooter>
    </c:headerFooter>
    <c:pageMargins b="0.984251969" l="0.78740157499999996" r="0.78740157499999996" t="0.984251969" header="0.5" footer="0.5"/>
    <c:pageSetup paperSize="9" orientation="landscape"/>
  </c:printSettings>
</c:chartSpac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emf"/><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9</xdr:col>
      <xdr:colOff>357294</xdr:colOff>
      <xdr:row>2</xdr:row>
      <xdr:rowOff>9314</xdr:rowOff>
    </xdr:from>
    <xdr:to>
      <xdr:col>14</xdr:col>
      <xdr:colOff>200024</xdr:colOff>
      <xdr:row>22</xdr:row>
      <xdr:rowOff>14606</xdr:rowOff>
    </xdr:to>
    <xdr:graphicFrame macro="">
      <xdr:nvGraphicFramePr>
        <xdr:cNvPr id="1408" name="Chart 1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83822</xdr:colOff>
      <xdr:row>2</xdr:row>
      <xdr:rowOff>10160</xdr:rowOff>
    </xdr:from>
    <xdr:to>
      <xdr:col>9</xdr:col>
      <xdr:colOff>274320</xdr:colOff>
      <xdr:row>22</xdr:row>
      <xdr:rowOff>10160</xdr:rowOff>
    </xdr:to>
    <xdr:graphicFrame macro="">
      <xdr:nvGraphicFramePr>
        <xdr:cNvPr id="1410" name="Chart 1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0</xdr:col>
          <xdr:colOff>76200</xdr:colOff>
          <xdr:row>0</xdr:row>
          <xdr:rowOff>66675</xdr:rowOff>
        </xdr:from>
        <xdr:to>
          <xdr:col>2</xdr:col>
          <xdr:colOff>276225</xdr:colOff>
          <xdr:row>0</xdr:row>
          <xdr:rowOff>295275</xdr:rowOff>
        </xdr:to>
        <xdr:sp macro="" textlink="">
          <xdr:nvSpPr>
            <xdr:cNvPr id="1152" name="Button 128" hidden="1">
              <a:extLst>
                <a:ext uri="{63B3BB69-23CF-44E3-9099-C40C66FF867C}">
                  <a14:compatExt spid="_x0000_s1152"/>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Variable kostnader i tabell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104775</xdr:colOff>
          <xdr:row>0</xdr:row>
          <xdr:rowOff>66675</xdr:rowOff>
        </xdr:from>
        <xdr:to>
          <xdr:col>6</xdr:col>
          <xdr:colOff>190500</xdr:colOff>
          <xdr:row>0</xdr:row>
          <xdr:rowOff>295275</xdr:rowOff>
        </xdr:to>
        <xdr:sp macro="" textlink="">
          <xdr:nvSpPr>
            <xdr:cNvPr id="1153" name="Button 129" hidden="1">
              <a:extLst>
                <a:ext uri="{63B3BB69-23CF-44E3-9099-C40C66FF867C}">
                  <a14:compatExt spid="_x0000_s1153"/>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Til toppen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200025</xdr:colOff>
          <xdr:row>0</xdr:row>
          <xdr:rowOff>66675</xdr:rowOff>
        </xdr:from>
        <xdr:to>
          <xdr:col>7</xdr:col>
          <xdr:colOff>9525</xdr:colOff>
          <xdr:row>0</xdr:row>
          <xdr:rowOff>295275</xdr:rowOff>
        </xdr:to>
        <xdr:sp macro="" textlink="">
          <xdr:nvSpPr>
            <xdr:cNvPr id="1167" name="Button 143" hidden="1">
              <a:extLst>
                <a:ext uri="{63B3BB69-23CF-44E3-9099-C40C66FF867C}">
                  <a14:compatExt spid="_x0000_s1167"/>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Slett inndata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0</xdr:row>
          <xdr:rowOff>66675</xdr:rowOff>
        </xdr:from>
        <xdr:to>
          <xdr:col>7</xdr:col>
          <xdr:colOff>561975</xdr:colOff>
          <xdr:row>0</xdr:row>
          <xdr:rowOff>295275</xdr:rowOff>
        </xdr:to>
        <xdr:sp macro="" textlink="">
          <xdr:nvSpPr>
            <xdr:cNvPr id="1210" name="Button 186" hidden="1">
              <a:extLst>
                <a:ext uri="{63B3BB69-23CF-44E3-9099-C40C66FF867C}">
                  <a14:compatExt spid="_x0000_s1210"/>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Utskrift</a:t>
              </a:r>
            </a:p>
          </xdr:txBody>
        </xdr:sp>
        <xdr:clientData fPrintsWithSheet="0"/>
      </xdr:twoCellAnchor>
    </mc:Choice>
    <mc:Fallback/>
  </mc:AlternateContent>
  <xdr:twoCellAnchor>
    <xdr:from>
      <xdr:col>9</xdr:col>
      <xdr:colOff>331895</xdr:colOff>
      <xdr:row>27</xdr:row>
      <xdr:rowOff>108373</xdr:rowOff>
    </xdr:from>
    <xdr:to>
      <xdr:col>9</xdr:col>
      <xdr:colOff>347135</xdr:colOff>
      <xdr:row>32</xdr:row>
      <xdr:rowOff>123613</xdr:rowOff>
    </xdr:to>
    <xdr:cxnSp macro="">
      <xdr:nvCxnSpPr>
        <xdr:cNvPr id="3" name="Rett pil 2"/>
        <xdr:cNvCxnSpPr/>
      </xdr:nvCxnSpPr>
      <xdr:spPr bwMode="auto">
        <a:xfrm flipH="1">
          <a:off x="10136295" y="4091093"/>
          <a:ext cx="15240" cy="77724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10</xdr:col>
      <xdr:colOff>403860</xdr:colOff>
      <xdr:row>31</xdr:row>
      <xdr:rowOff>90171</xdr:rowOff>
    </xdr:from>
    <xdr:to>
      <xdr:col>11</xdr:col>
      <xdr:colOff>220980</xdr:colOff>
      <xdr:row>32</xdr:row>
      <xdr:rowOff>159597</xdr:rowOff>
    </xdr:to>
    <xdr:sp macro="" textlink="">
      <xdr:nvSpPr>
        <xdr:cNvPr id="24" name="TekstSylinder 23"/>
        <xdr:cNvSpPr txBox="1"/>
      </xdr:nvSpPr>
      <xdr:spPr>
        <a:xfrm>
          <a:off x="6576060" y="5424171"/>
          <a:ext cx="381000" cy="22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a:t>ØDP</a:t>
          </a:r>
        </a:p>
      </xdr:txBody>
    </xdr:sp>
    <xdr:clientData/>
  </xdr:twoCellAnchor>
  <xdr:twoCellAnchor>
    <xdr:from>
      <xdr:col>10</xdr:col>
      <xdr:colOff>356024</xdr:colOff>
      <xdr:row>33</xdr:row>
      <xdr:rowOff>121919</xdr:rowOff>
    </xdr:from>
    <xdr:to>
      <xdr:col>11</xdr:col>
      <xdr:colOff>236219</xdr:colOff>
      <xdr:row>35</xdr:row>
      <xdr:rowOff>38099</xdr:rowOff>
    </xdr:to>
    <xdr:sp macro="" textlink="">
      <xdr:nvSpPr>
        <xdr:cNvPr id="25" name="TekstSylinder 24"/>
        <xdr:cNvSpPr txBox="1"/>
      </xdr:nvSpPr>
      <xdr:spPr>
        <a:xfrm>
          <a:off x="6528224" y="5775959"/>
          <a:ext cx="444075"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a:t>VOm</a:t>
          </a:r>
        </a:p>
      </xdr:txBody>
    </xdr:sp>
    <xdr:clientData/>
  </xdr:twoCellAnchor>
  <xdr:twoCellAnchor>
    <xdr:from>
      <xdr:col>9</xdr:col>
      <xdr:colOff>515621</xdr:colOff>
      <xdr:row>33</xdr:row>
      <xdr:rowOff>129540</xdr:rowOff>
    </xdr:from>
    <xdr:to>
      <xdr:col>10</xdr:col>
      <xdr:colOff>347980</xdr:colOff>
      <xdr:row>35</xdr:row>
      <xdr:rowOff>35560</xdr:rowOff>
    </xdr:to>
    <xdr:sp macro="" textlink="">
      <xdr:nvSpPr>
        <xdr:cNvPr id="26" name="TekstSylinder 25"/>
        <xdr:cNvSpPr txBox="1"/>
      </xdr:nvSpPr>
      <xdr:spPr>
        <a:xfrm>
          <a:off x="6070601" y="5783580"/>
          <a:ext cx="449579" cy="226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VOp</a:t>
          </a:r>
        </a:p>
      </xdr:txBody>
    </xdr:sp>
    <xdr:clientData/>
  </xdr:twoCellAnchor>
  <xdr:twoCellAnchor>
    <xdr:from>
      <xdr:col>11</xdr:col>
      <xdr:colOff>399627</xdr:colOff>
      <xdr:row>31</xdr:row>
      <xdr:rowOff>118534</xdr:rowOff>
    </xdr:from>
    <xdr:to>
      <xdr:col>13</xdr:col>
      <xdr:colOff>91440</xdr:colOff>
      <xdr:row>32</xdr:row>
      <xdr:rowOff>159174</xdr:rowOff>
    </xdr:to>
    <xdr:sp macro="" textlink="">
      <xdr:nvSpPr>
        <xdr:cNvPr id="7" name="Rektangel 6"/>
        <xdr:cNvSpPr/>
      </xdr:nvSpPr>
      <xdr:spPr bwMode="auto">
        <a:xfrm flipV="1">
          <a:off x="7135707" y="5452534"/>
          <a:ext cx="819573" cy="200660"/>
        </a:xfrm>
        <a:prstGeom prst="rect">
          <a:avLst/>
        </a:prstGeom>
        <a:solidFill>
          <a:srgbClr val="FFFF00">
            <a:alpha val="22000"/>
          </a:srgbClr>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upright="1"/>
        <a:lstStyle/>
        <a:p>
          <a:pPr algn="ctr"/>
          <a:r>
            <a:rPr lang="nb-NO" sz="900"/>
            <a:t>Overskudd</a:t>
          </a:r>
        </a:p>
      </xdr:txBody>
    </xdr:sp>
    <xdr:clientData/>
  </xdr:twoCellAnchor>
  <xdr:twoCellAnchor>
    <xdr:from>
      <xdr:col>9</xdr:col>
      <xdr:colOff>615950</xdr:colOff>
      <xdr:row>31</xdr:row>
      <xdr:rowOff>96520</xdr:rowOff>
    </xdr:from>
    <xdr:to>
      <xdr:col>10</xdr:col>
      <xdr:colOff>375920</xdr:colOff>
      <xdr:row>33</xdr:row>
      <xdr:rowOff>27940</xdr:rowOff>
    </xdr:to>
    <xdr:sp macro="" textlink="">
      <xdr:nvSpPr>
        <xdr:cNvPr id="29" name="TekstSylinder 28"/>
        <xdr:cNvSpPr txBox="1"/>
      </xdr:nvSpPr>
      <xdr:spPr>
        <a:xfrm>
          <a:off x="6170930" y="5430520"/>
          <a:ext cx="37719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a:t>NDP</a:t>
          </a:r>
        </a:p>
      </xdr:txBody>
    </xdr:sp>
    <xdr:clientData/>
  </xdr:twoCellAnchor>
  <xdr:twoCellAnchor>
    <xdr:from>
      <xdr:col>10</xdr:col>
      <xdr:colOff>423</xdr:colOff>
      <xdr:row>26</xdr:row>
      <xdr:rowOff>144781</xdr:rowOff>
    </xdr:from>
    <xdr:to>
      <xdr:col>11</xdr:col>
      <xdr:colOff>91440</xdr:colOff>
      <xdr:row>29</xdr:row>
      <xdr:rowOff>10161</xdr:rowOff>
    </xdr:to>
    <xdr:sp macro="" textlink="">
      <xdr:nvSpPr>
        <xdr:cNvPr id="30" name="TekstSylinder 29"/>
        <xdr:cNvSpPr txBox="1"/>
      </xdr:nvSpPr>
      <xdr:spPr>
        <a:xfrm>
          <a:off x="6172623" y="4678681"/>
          <a:ext cx="654897" cy="345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VO</a:t>
          </a:r>
          <a:r>
            <a:rPr lang="nb-NO" sz="800" baseline="0"/>
            <a:t> (DEI=DEK)</a:t>
          </a:r>
          <a:endParaRPr lang="nb-NO" sz="800"/>
        </a:p>
      </xdr:txBody>
    </xdr:sp>
    <xdr:clientData/>
  </xdr:twoCellAnchor>
  <xdr:twoCellAnchor>
    <xdr:from>
      <xdr:col>9</xdr:col>
      <xdr:colOff>528320</xdr:colOff>
      <xdr:row>28</xdr:row>
      <xdr:rowOff>145625</xdr:rowOff>
    </xdr:from>
    <xdr:to>
      <xdr:col>11</xdr:col>
      <xdr:colOff>193040</xdr:colOff>
      <xdr:row>31</xdr:row>
      <xdr:rowOff>77892</xdr:rowOff>
    </xdr:to>
    <xdr:sp macro="" textlink="">
      <xdr:nvSpPr>
        <xdr:cNvPr id="31" name="TekstSylinder 30"/>
        <xdr:cNvSpPr txBox="1"/>
      </xdr:nvSpPr>
      <xdr:spPr>
        <a:xfrm>
          <a:off x="6083300" y="4999565"/>
          <a:ext cx="845820" cy="412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Laveste pris på kort sikt (VEK=DEK)</a:t>
          </a:r>
        </a:p>
      </xdr:txBody>
    </xdr:sp>
    <xdr:clientData/>
  </xdr:twoCellAnchor>
  <xdr:twoCellAnchor>
    <xdr:from>
      <xdr:col>11</xdr:col>
      <xdr:colOff>62230</xdr:colOff>
      <xdr:row>29</xdr:row>
      <xdr:rowOff>18627</xdr:rowOff>
    </xdr:from>
    <xdr:to>
      <xdr:col>12</xdr:col>
      <xdr:colOff>589280</xdr:colOff>
      <xdr:row>31</xdr:row>
      <xdr:rowOff>103294</xdr:rowOff>
    </xdr:to>
    <xdr:sp macro="" textlink="">
      <xdr:nvSpPr>
        <xdr:cNvPr id="32" name="TekstSylinder 31"/>
        <xdr:cNvSpPr txBox="1"/>
      </xdr:nvSpPr>
      <xdr:spPr>
        <a:xfrm>
          <a:off x="7519670" y="5068147"/>
          <a:ext cx="1278890" cy="389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Laveste pris på lang sikt (SEK=DEK)</a:t>
          </a:r>
        </a:p>
      </xdr:txBody>
    </xdr:sp>
    <xdr:clientData/>
  </xdr:twoCellAnchor>
  <xdr:twoCellAnchor>
    <xdr:from>
      <xdr:col>13</xdr:col>
      <xdr:colOff>442807</xdr:colOff>
      <xdr:row>24</xdr:row>
      <xdr:rowOff>152400</xdr:rowOff>
    </xdr:from>
    <xdr:to>
      <xdr:col>14</xdr:col>
      <xdr:colOff>397087</xdr:colOff>
      <xdr:row>27</xdr:row>
      <xdr:rowOff>96520</xdr:rowOff>
    </xdr:to>
    <xdr:sp macro="" textlink="">
      <xdr:nvSpPr>
        <xdr:cNvPr id="33" name="Venstre klammeparentes 32"/>
        <xdr:cNvSpPr/>
      </xdr:nvSpPr>
      <xdr:spPr bwMode="auto">
        <a:xfrm rot="5400000">
          <a:off x="8353637" y="4319270"/>
          <a:ext cx="424180" cy="518160"/>
        </a:xfrm>
        <a:prstGeom prst="leftBrace">
          <a:avLst/>
        </a:prstGeom>
        <a:noFill/>
        <a:ln w="9525" cap="flat" cmpd="sng" algn="ctr">
          <a:solidFill>
            <a:srgbClr val="000000"/>
          </a:solidFill>
          <a:prstDash val="solid"/>
          <a:round/>
          <a:headEnd type="none" w="med" len="med"/>
          <a:tailEnd type="none" w="med" len="med"/>
        </a:ln>
        <a:effectLst/>
      </xdr:spPr>
      <xdr:txBody>
        <a:bodyPr wrap="square"/>
        <a:lstStyle/>
        <a:p>
          <a:endParaRPr lang="nb-NO"/>
        </a:p>
      </xdr:txBody>
    </xdr:sp>
    <xdr:clientData/>
  </xdr:twoCellAnchor>
  <xdr:twoCellAnchor>
    <xdr:from>
      <xdr:col>13</xdr:col>
      <xdr:colOff>457200</xdr:colOff>
      <xdr:row>30</xdr:row>
      <xdr:rowOff>68580</xdr:rowOff>
    </xdr:from>
    <xdr:to>
      <xdr:col>14</xdr:col>
      <xdr:colOff>53340</xdr:colOff>
      <xdr:row>34</xdr:row>
      <xdr:rowOff>149860</xdr:rowOff>
    </xdr:to>
    <xdr:sp macro="" textlink="">
      <xdr:nvSpPr>
        <xdr:cNvPr id="2" name="Venstre klammeparentes 1"/>
        <xdr:cNvSpPr/>
      </xdr:nvSpPr>
      <xdr:spPr bwMode="auto">
        <a:xfrm flipV="1">
          <a:off x="8321040" y="5242560"/>
          <a:ext cx="160020" cy="721360"/>
        </a:xfrm>
        <a:prstGeom prst="lef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14</xdr:col>
      <xdr:colOff>210818</xdr:colOff>
      <xdr:row>30</xdr:row>
      <xdr:rowOff>66040</xdr:rowOff>
    </xdr:from>
    <xdr:to>
      <xdr:col>14</xdr:col>
      <xdr:colOff>455929</xdr:colOff>
      <xdr:row>34</xdr:row>
      <xdr:rowOff>147320</xdr:rowOff>
    </xdr:to>
    <xdr:sp macro="" textlink="">
      <xdr:nvSpPr>
        <xdr:cNvPr id="34" name="Venstre klammeparentes 33"/>
        <xdr:cNvSpPr/>
      </xdr:nvSpPr>
      <xdr:spPr bwMode="auto">
        <a:xfrm rot="10800000" flipV="1">
          <a:off x="8638538" y="5240020"/>
          <a:ext cx="245111" cy="721360"/>
        </a:xfrm>
        <a:prstGeom prst="lef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9</xdr:col>
      <xdr:colOff>118534</xdr:colOff>
      <xdr:row>25</xdr:row>
      <xdr:rowOff>130387</xdr:rowOff>
    </xdr:from>
    <xdr:to>
      <xdr:col>9</xdr:col>
      <xdr:colOff>657014</xdr:colOff>
      <xdr:row>25</xdr:row>
      <xdr:rowOff>135467</xdr:rowOff>
    </xdr:to>
    <xdr:cxnSp macro="">
      <xdr:nvCxnSpPr>
        <xdr:cNvPr id="35" name="Rett pil 34"/>
        <xdr:cNvCxnSpPr/>
      </xdr:nvCxnSpPr>
      <xdr:spPr bwMode="auto">
        <a:xfrm flipH="1">
          <a:off x="9922934" y="3808307"/>
          <a:ext cx="538480" cy="508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9</xdr:col>
      <xdr:colOff>186267</xdr:colOff>
      <xdr:row>27</xdr:row>
      <xdr:rowOff>113454</xdr:rowOff>
    </xdr:from>
    <xdr:to>
      <xdr:col>9</xdr:col>
      <xdr:colOff>201507</xdr:colOff>
      <xdr:row>32</xdr:row>
      <xdr:rowOff>128694</xdr:rowOff>
    </xdr:to>
    <xdr:cxnSp macro="">
      <xdr:nvCxnSpPr>
        <xdr:cNvPr id="36" name="Rett pil 35"/>
        <xdr:cNvCxnSpPr/>
      </xdr:nvCxnSpPr>
      <xdr:spPr bwMode="auto">
        <a:xfrm flipH="1">
          <a:off x="9990667" y="4096174"/>
          <a:ext cx="15240" cy="77724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10</xdr:col>
      <xdr:colOff>742950</xdr:colOff>
      <xdr:row>27</xdr:row>
      <xdr:rowOff>10160</xdr:rowOff>
    </xdr:from>
    <xdr:to>
      <xdr:col>12</xdr:col>
      <xdr:colOff>477520</xdr:colOff>
      <xdr:row>29</xdr:row>
      <xdr:rowOff>72814</xdr:rowOff>
    </xdr:to>
    <xdr:sp macro="" textlink="">
      <xdr:nvSpPr>
        <xdr:cNvPr id="37" name="TekstSylinder 36"/>
        <xdr:cNvSpPr txBox="1"/>
      </xdr:nvSpPr>
      <xdr:spPr>
        <a:xfrm>
          <a:off x="7448550" y="4754880"/>
          <a:ext cx="1238250" cy="367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Kostnadsoptimum (SEK=DEK)</a:t>
          </a:r>
        </a:p>
      </xdr:txBody>
    </xdr:sp>
    <xdr:clientData/>
  </xdr:twoCellAnchor>
  <xdr:twoCellAnchor>
    <xdr:from>
      <xdr:col>11</xdr:col>
      <xdr:colOff>402167</xdr:colOff>
      <xdr:row>33</xdr:row>
      <xdr:rowOff>88054</xdr:rowOff>
    </xdr:from>
    <xdr:to>
      <xdr:col>13</xdr:col>
      <xdr:colOff>91440</xdr:colOff>
      <xdr:row>34</xdr:row>
      <xdr:rowOff>121920</xdr:rowOff>
    </xdr:to>
    <xdr:sp macro="" textlink="">
      <xdr:nvSpPr>
        <xdr:cNvPr id="38" name="Rektangel 37"/>
        <xdr:cNvSpPr/>
      </xdr:nvSpPr>
      <xdr:spPr bwMode="auto">
        <a:xfrm flipV="1">
          <a:off x="7138247" y="5742094"/>
          <a:ext cx="817033" cy="193886"/>
        </a:xfrm>
        <a:prstGeom prst="rect">
          <a:avLst/>
        </a:prstGeom>
        <a:solidFill>
          <a:srgbClr val="FFFF00">
            <a:alpha val="22000"/>
          </a:srgbClr>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upright="1"/>
        <a:lstStyle/>
        <a:p>
          <a:pPr algn="ctr"/>
          <a:r>
            <a:rPr lang="nb-NO" sz="900"/>
            <a:t>Dekningsbidrag</a:t>
          </a:r>
        </a:p>
      </xdr:txBody>
    </xdr:sp>
    <xdr:clientData/>
  </xdr:twoCellAnchor>
  <xdr:twoCellAnchor>
    <xdr:from>
      <xdr:col>11</xdr:col>
      <xdr:colOff>222462</xdr:colOff>
      <xdr:row>25</xdr:row>
      <xdr:rowOff>40640</xdr:rowOff>
    </xdr:from>
    <xdr:to>
      <xdr:col>12</xdr:col>
      <xdr:colOff>224790</xdr:colOff>
      <xdr:row>26</xdr:row>
      <xdr:rowOff>152400</xdr:rowOff>
    </xdr:to>
    <xdr:sp macro="" textlink="">
      <xdr:nvSpPr>
        <xdr:cNvPr id="39" name="TekstSylinder 38"/>
        <xdr:cNvSpPr txBox="1"/>
      </xdr:nvSpPr>
      <xdr:spPr>
        <a:xfrm>
          <a:off x="6958542" y="4414520"/>
          <a:ext cx="566208" cy="271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Salg ute</a:t>
          </a:r>
        </a:p>
      </xdr:txBody>
    </xdr:sp>
    <xdr:clientData/>
  </xdr:twoCellAnchor>
  <xdr:twoCellAnchor>
    <xdr:from>
      <xdr:col>12</xdr:col>
      <xdr:colOff>224367</xdr:colOff>
      <xdr:row>25</xdr:row>
      <xdr:rowOff>25400</xdr:rowOff>
    </xdr:from>
    <xdr:to>
      <xdr:col>13</xdr:col>
      <xdr:colOff>246380</xdr:colOff>
      <xdr:row>27</xdr:row>
      <xdr:rowOff>67732</xdr:rowOff>
    </xdr:to>
    <xdr:sp macro="" textlink="">
      <xdr:nvSpPr>
        <xdr:cNvPr id="40" name="TekstSylinder 39"/>
        <xdr:cNvSpPr txBox="1"/>
      </xdr:nvSpPr>
      <xdr:spPr>
        <a:xfrm>
          <a:off x="7524327" y="4399280"/>
          <a:ext cx="585893" cy="362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Salg hjemme</a:t>
          </a:r>
        </a:p>
      </xdr:txBody>
    </xdr:sp>
    <xdr:clientData/>
  </xdr:twoCellAnchor>
  <xdr:twoCellAnchor>
    <xdr:from>
      <xdr:col>9</xdr:col>
      <xdr:colOff>118534</xdr:colOff>
      <xdr:row>26</xdr:row>
      <xdr:rowOff>130387</xdr:rowOff>
    </xdr:from>
    <xdr:to>
      <xdr:col>9</xdr:col>
      <xdr:colOff>657014</xdr:colOff>
      <xdr:row>26</xdr:row>
      <xdr:rowOff>135467</xdr:rowOff>
    </xdr:to>
    <xdr:cxnSp macro="">
      <xdr:nvCxnSpPr>
        <xdr:cNvPr id="41" name="Rett pil 40"/>
        <xdr:cNvCxnSpPr/>
      </xdr:nvCxnSpPr>
      <xdr:spPr bwMode="auto">
        <a:xfrm flipH="1">
          <a:off x="9922934" y="3960707"/>
          <a:ext cx="538480" cy="508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9</xdr:col>
      <xdr:colOff>484295</xdr:colOff>
      <xdr:row>27</xdr:row>
      <xdr:rowOff>108373</xdr:rowOff>
    </xdr:from>
    <xdr:to>
      <xdr:col>9</xdr:col>
      <xdr:colOff>499535</xdr:colOff>
      <xdr:row>32</xdr:row>
      <xdr:rowOff>123613</xdr:rowOff>
    </xdr:to>
    <xdr:cxnSp macro="">
      <xdr:nvCxnSpPr>
        <xdr:cNvPr id="42" name="Rett pil 41"/>
        <xdr:cNvCxnSpPr/>
      </xdr:nvCxnSpPr>
      <xdr:spPr bwMode="auto">
        <a:xfrm flipH="1">
          <a:off x="10288695" y="4091093"/>
          <a:ext cx="15240" cy="77724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10</xdr:col>
      <xdr:colOff>129539</xdr:colOff>
      <xdr:row>25</xdr:row>
      <xdr:rowOff>87631</xdr:rowOff>
    </xdr:from>
    <xdr:to>
      <xdr:col>10</xdr:col>
      <xdr:colOff>256540</xdr:colOff>
      <xdr:row>26</xdr:row>
      <xdr:rowOff>62232</xdr:rowOff>
    </xdr:to>
    <xdr:sp macro="" textlink="">
      <xdr:nvSpPr>
        <xdr:cNvPr id="43" name="Ellipse 42"/>
        <xdr:cNvSpPr/>
      </xdr:nvSpPr>
      <xdr:spPr bwMode="auto">
        <a:xfrm>
          <a:off x="10835639" y="3770631"/>
          <a:ext cx="127001" cy="127001"/>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10</xdr:col>
      <xdr:colOff>345439</xdr:colOff>
      <xdr:row>25</xdr:row>
      <xdr:rowOff>74931</xdr:rowOff>
    </xdr:from>
    <xdr:to>
      <xdr:col>10</xdr:col>
      <xdr:colOff>472440</xdr:colOff>
      <xdr:row>26</xdr:row>
      <xdr:rowOff>49532</xdr:rowOff>
    </xdr:to>
    <xdr:sp macro="" textlink="">
      <xdr:nvSpPr>
        <xdr:cNvPr id="44" name="Ellipse 43"/>
        <xdr:cNvSpPr/>
      </xdr:nvSpPr>
      <xdr:spPr bwMode="auto">
        <a:xfrm>
          <a:off x="11051539" y="3757931"/>
          <a:ext cx="127001" cy="127001"/>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13</xdr:col>
      <xdr:colOff>480907</xdr:colOff>
      <xdr:row>27</xdr:row>
      <xdr:rowOff>23707</xdr:rowOff>
    </xdr:from>
    <xdr:to>
      <xdr:col>14</xdr:col>
      <xdr:colOff>412962</xdr:colOff>
      <xdr:row>29</xdr:row>
      <xdr:rowOff>104141</xdr:rowOff>
    </xdr:to>
    <xdr:sp macro="" textlink="">
      <xdr:nvSpPr>
        <xdr:cNvPr id="45" name="Venstre klammeparentes 44"/>
        <xdr:cNvSpPr/>
      </xdr:nvSpPr>
      <xdr:spPr bwMode="auto">
        <a:xfrm rot="5400000">
          <a:off x="8392478" y="4669896"/>
          <a:ext cx="400474" cy="495935"/>
        </a:xfrm>
        <a:prstGeom prst="leftBrace">
          <a:avLst/>
        </a:prstGeom>
        <a:noFill/>
        <a:ln w="9525" cap="flat" cmpd="sng" algn="ctr">
          <a:solidFill>
            <a:srgbClr val="000000"/>
          </a:solidFill>
          <a:prstDash val="solid"/>
          <a:round/>
          <a:headEnd type="none" w="med" len="med"/>
          <a:tailEnd type="none" w="med" len="med"/>
        </a:ln>
        <a:effectLst/>
      </xdr:spPr>
      <xdr:txBody>
        <a:bodyPr wrap="square"/>
        <a:lstStyle/>
        <a:p>
          <a:endParaRPr lang="nb-NO"/>
        </a:p>
      </xdr:txBody>
    </xdr:sp>
    <xdr:clientData/>
  </xdr:twoCellAnchor>
  <xdr:twoCellAnchor>
    <xdr:from>
      <xdr:col>11</xdr:col>
      <xdr:colOff>10159</xdr:colOff>
      <xdr:row>25</xdr:row>
      <xdr:rowOff>77471</xdr:rowOff>
    </xdr:from>
    <xdr:to>
      <xdr:col>11</xdr:col>
      <xdr:colOff>137160</xdr:colOff>
      <xdr:row>26</xdr:row>
      <xdr:rowOff>52072</xdr:rowOff>
    </xdr:to>
    <xdr:sp macro="" textlink="">
      <xdr:nvSpPr>
        <xdr:cNvPr id="51" name="Ellipse 50"/>
        <xdr:cNvSpPr/>
      </xdr:nvSpPr>
      <xdr:spPr bwMode="auto">
        <a:xfrm>
          <a:off x="6746239" y="4451351"/>
          <a:ext cx="127001" cy="134621"/>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0</xdr:col>
      <xdr:colOff>8467</xdr:colOff>
      <xdr:row>10</xdr:row>
      <xdr:rowOff>16934</xdr:rowOff>
    </xdr:from>
    <xdr:to>
      <xdr:col>5</xdr:col>
      <xdr:colOff>8466</xdr:colOff>
      <xdr:row>10</xdr:row>
      <xdr:rowOff>143934</xdr:rowOff>
    </xdr:to>
    <xdr:sp macro="[0]!rader_i_graf" textlink="">
      <xdr:nvSpPr>
        <xdr:cNvPr id="4" name="Rektangel 3"/>
        <xdr:cNvSpPr/>
      </xdr:nvSpPr>
      <xdr:spPr bwMode="auto">
        <a:xfrm>
          <a:off x="8467" y="1930401"/>
          <a:ext cx="4148666" cy="127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mc:AlternateContent xmlns:mc="http://schemas.openxmlformats.org/markup-compatibility/2006">
    <mc:Choice xmlns:a14="http://schemas.microsoft.com/office/drawing/2010/main" Requires="a14">
      <xdr:twoCellAnchor>
        <xdr:from>
          <xdr:col>2</xdr:col>
          <xdr:colOff>276225</xdr:colOff>
          <xdr:row>0</xdr:row>
          <xdr:rowOff>66675</xdr:rowOff>
        </xdr:from>
        <xdr:to>
          <xdr:col>3</xdr:col>
          <xdr:colOff>571500</xdr:colOff>
          <xdr:row>0</xdr:row>
          <xdr:rowOff>295275</xdr:rowOff>
        </xdr:to>
        <xdr:sp macro="" textlink="">
          <xdr:nvSpPr>
            <xdr:cNvPr id="1282" name="Button 258" hidden="1">
              <a:extLst>
                <a:ext uri="{63B3BB69-23CF-44E3-9099-C40C66FF867C}">
                  <a14:compatExt spid="_x0000_s1282"/>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Enhetsdiagram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571500</xdr:colOff>
          <xdr:row>0</xdr:row>
          <xdr:rowOff>66675</xdr:rowOff>
        </xdr:from>
        <xdr:to>
          <xdr:col>5</xdr:col>
          <xdr:colOff>104775</xdr:colOff>
          <xdr:row>0</xdr:row>
          <xdr:rowOff>295275</xdr:rowOff>
        </xdr:to>
        <xdr:sp macro="" textlink="">
          <xdr:nvSpPr>
            <xdr:cNvPr id="1283" name="Button 259" hidden="1">
              <a:extLst>
                <a:ext uri="{63B3BB69-23CF-44E3-9099-C40C66FF867C}">
                  <a14:compatExt spid="_x0000_s1283"/>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Totaldiagram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571500</xdr:colOff>
          <xdr:row>0</xdr:row>
          <xdr:rowOff>66675</xdr:rowOff>
        </xdr:from>
        <xdr:to>
          <xdr:col>8</xdr:col>
          <xdr:colOff>447675</xdr:colOff>
          <xdr:row>0</xdr:row>
          <xdr:rowOff>295275</xdr:rowOff>
        </xdr:to>
        <xdr:sp macro="" textlink="">
          <xdr:nvSpPr>
            <xdr:cNvPr id="1285" name="Button 261" hidden="1">
              <a:extLst>
                <a:ext uri="{63B3BB69-23CF-44E3-9099-C40C66FF867C}">
                  <a14:compatExt spid="_x0000_s1285"/>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Hjelp</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142875</xdr:colOff>
          <xdr:row>1</xdr:row>
          <xdr:rowOff>28575</xdr:rowOff>
        </xdr:from>
        <xdr:to>
          <xdr:col>17</xdr:col>
          <xdr:colOff>266700</xdr:colOff>
          <xdr:row>3</xdr:row>
          <xdr:rowOff>9525</xdr:rowOff>
        </xdr:to>
        <xdr:sp macro="" textlink="">
          <xdr:nvSpPr>
            <xdr:cNvPr id="3073" name="Button 1" hidden="1">
              <a:extLst>
                <a:ext uri="{63B3BB69-23CF-44E3-9099-C40C66FF867C}">
                  <a14:compatExt spid="_x0000_s3073"/>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Tilbake</a:t>
              </a:r>
            </a:p>
          </xdr:txBody>
        </xdr:sp>
        <xdr:clientData fPrintsWithSheet="0"/>
      </xdr:twoCellAnchor>
    </mc:Choice>
    <mc:Fallback/>
  </mc:AlternateContent>
  <xdr:twoCellAnchor>
    <xdr:from>
      <xdr:col>0</xdr:col>
      <xdr:colOff>203200</xdr:colOff>
      <xdr:row>0</xdr:row>
      <xdr:rowOff>88900</xdr:rowOff>
    </xdr:from>
    <xdr:to>
      <xdr:col>14</xdr:col>
      <xdr:colOff>596900</xdr:colOff>
      <xdr:row>54</xdr:row>
      <xdr:rowOff>0</xdr:rowOff>
    </xdr:to>
    <xdr:graphicFrame macro="">
      <xdr:nvGraphicFramePr>
        <xdr:cNvPr id="3" name="Chart 17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331895</xdr:colOff>
      <xdr:row>10</xdr:row>
      <xdr:rowOff>108373</xdr:rowOff>
    </xdr:from>
    <xdr:to>
      <xdr:col>16</xdr:col>
      <xdr:colOff>347135</xdr:colOff>
      <xdr:row>15</xdr:row>
      <xdr:rowOff>123613</xdr:rowOff>
    </xdr:to>
    <xdr:cxnSp macro="">
      <xdr:nvCxnSpPr>
        <xdr:cNvPr id="4" name="Rett pil 3"/>
        <xdr:cNvCxnSpPr/>
      </xdr:nvCxnSpPr>
      <xdr:spPr bwMode="auto">
        <a:xfrm flipH="1">
          <a:off x="7837595" y="4604173"/>
          <a:ext cx="15240" cy="77724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17</xdr:col>
      <xdr:colOff>403860</xdr:colOff>
      <xdr:row>14</xdr:row>
      <xdr:rowOff>90171</xdr:rowOff>
    </xdr:from>
    <xdr:to>
      <xdr:col>18</xdr:col>
      <xdr:colOff>220980</xdr:colOff>
      <xdr:row>15</xdr:row>
      <xdr:rowOff>159597</xdr:rowOff>
    </xdr:to>
    <xdr:sp macro="" textlink="">
      <xdr:nvSpPr>
        <xdr:cNvPr id="5" name="TekstSylinder 4"/>
        <xdr:cNvSpPr txBox="1"/>
      </xdr:nvSpPr>
      <xdr:spPr>
        <a:xfrm>
          <a:off x="8735060" y="5195571"/>
          <a:ext cx="566420" cy="209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a:t>ØDP</a:t>
          </a:r>
        </a:p>
      </xdr:txBody>
    </xdr:sp>
    <xdr:clientData/>
  </xdr:twoCellAnchor>
  <xdr:twoCellAnchor>
    <xdr:from>
      <xdr:col>17</xdr:col>
      <xdr:colOff>356024</xdr:colOff>
      <xdr:row>16</xdr:row>
      <xdr:rowOff>121919</xdr:rowOff>
    </xdr:from>
    <xdr:to>
      <xdr:col>18</xdr:col>
      <xdr:colOff>236219</xdr:colOff>
      <xdr:row>18</xdr:row>
      <xdr:rowOff>38099</xdr:rowOff>
    </xdr:to>
    <xdr:sp macro="" textlink="">
      <xdr:nvSpPr>
        <xdr:cNvPr id="6" name="TekstSylinder 5"/>
        <xdr:cNvSpPr txBox="1"/>
      </xdr:nvSpPr>
      <xdr:spPr>
        <a:xfrm>
          <a:off x="8687224" y="5532119"/>
          <a:ext cx="629495" cy="220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a:t>VOm</a:t>
          </a:r>
        </a:p>
      </xdr:txBody>
    </xdr:sp>
    <xdr:clientData/>
  </xdr:twoCellAnchor>
  <xdr:twoCellAnchor>
    <xdr:from>
      <xdr:col>16</xdr:col>
      <xdr:colOff>515621</xdr:colOff>
      <xdr:row>16</xdr:row>
      <xdr:rowOff>129540</xdr:rowOff>
    </xdr:from>
    <xdr:to>
      <xdr:col>17</xdr:col>
      <xdr:colOff>347980</xdr:colOff>
      <xdr:row>18</xdr:row>
      <xdr:rowOff>35560</xdr:rowOff>
    </xdr:to>
    <xdr:sp macro="" textlink="">
      <xdr:nvSpPr>
        <xdr:cNvPr id="7" name="TekstSylinder 6"/>
        <xdr:cNvSpPr txBox="1"/>
      </xdr:nvSpPr>
      <xdr:spPr>
        <a:xfrm>
          <a:off x="8021321" y="5539740"/>
          <a:ext cx="657859" cy="210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VOp</a:t>
          </a:r>
        </a:p>
      </xdr:txBody>
    </xdr:sp>
    <xdr:clientData/>
  </xdr:twoCellAnchor>
  <xdr:twoCellAnchor>
    <xdr:from>
      <xdr:col>18</xdr:col>
      <xdr:colOff>399627</xdr:colOff>
      <xdr:row>14</xdr:row>
      <xdr:rowOff>118534</xdr:rowOff>
    </xdr:from>
    <xdr:to>
      <xdr:col>20</xdr:col>
      <xdr:colOff>91440</xdr:colOff>
      <xdr:row>15</xdr:row>
      <xdr:rowOff>159174</xdr:rowOff>
    </xdr:to>
    <xdr:sp macro="" textlink="">
      <xdr:nvSpPr>
        <xdr:cNvPr id="8" name="Rektangel 7"/>
        <xdr:cNvSpPr/>
      </xdr:nvSpPr>
      <xdr:spPr bwMode="auto">
        <a:xfrm flipV="1">
          <a:off x="9480127" y="5223934"/>
          <a:ext cx="1190413" cy="180340"/>
        </a:xfrm>
        <a:prstGeom prst="rect">
          <a:avLst/>
        </a:prstGeom>
        <a:solidFill>
          <a:srgbClr val="FFFF00">
            <a:alpha val="22000"/>
          </a:srgbClr>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upright="1"/>
        <a:lstStyle/>
        <a:p>
          <a:pPr algn="ctr"/>
          <a:r>
            <a:rPr lang="nb-NO" sz="900"/>
            <a:t>Overskudd</a:t>
          </a:r>
        </a:p>
      </xdr:txBody>
    </xdr:sp>
    <xdr:clientData/>
  </xdr:twoCellAnchor>
  <xdr:twoCellAnchor>
    <xdr:from>
      <xdr:col>16</xdr:col>
      <xdr:colOff>615950</xdr:colOff>
      <xdr:row>14</xdr:row>
      <xdr:rowOff>96520</xdr:rowOff>
    </xdr:from>
    <xdr:to>
      <xdr:col>17</xdr:col>
      <xdr:colOff>375920</xdr:colOff>
      <xdr:row>16</xdr:row>
      <xdr:rowOff>27940</xdr:rowOff>
    </xdr:to>
    <xdr:sp macro="" textlink="">
      <xdr:nvSpPr>
        <xdr:cNvPr id="9" name="TekstSylinder 8"/>
        <xdr:cNvSpPr txBox="1"/>
      </xdr:nvSpPr>
      <xdr:spPr>
        <a:xfrm>
          <a:off x="8121650" y="5201920"/>
          <a:ext cx="58547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a:t>NDP</a:t>
          </a:r>
        </a:p>
      </xdr:txBody>
    </xdr:sp>
    <xdr:clientData/>
  </xdr:twoCellAnchor>
  <xdr:twoCellAnchor>
    <xdr:from>
      <xdr:col>17</xdr:col>
      <xdr:colOff>423</xdr:colOff>
      <xdr:row>9</xdr:row>
      <xdr:rowOff>144781</xdr:rowOff>
    </xdr:from>
    <xdr:to>
      <xdr:col>18</xdr:col>
      <xdr:colOff>91440</xdr:colOff>
      <xdr:row>12</xdr:row>
      <xdr:rowOff>10161</xdr:rowOff>
    </xdr:to>
    <xdr:sp macro="" textlink="">
      <xdr:nvSpPr>
        <xdr:cNvPr id="10" name="TekstSylinder 9"/>
        <xdr:cNvSpPr txBox="1"/>
      </xdr:nvSpPr>
      <xdr:spPr>
        <a:xfrm>
          <a:off x="8331623" y="4488181"/>
          <a:ext cx="840317" cy="322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VO</a:t>
          </a:r>
          <a:r>
            <a:rPr lang="nb-NO" sz="800" baseline="0"/>
            <a:t> (DEI=DEK)</a:t>
          </a:r>
          <a:endParaRPr lang="nb-NO" sz="800"/>
        </a:p>
      </xdr:txBody>
    </xdr:sp>
    <xdr:clientData/>
  </xdr:twoCellAnchor>
  <xdr:twoCellAnchor>
    <xdr:from>
      <xdr:col>16</xdr:col>
      <xdr:colOff>528320</xdr:colOff>
      <xdr:row>11</xdr:row>
      <xdr:rowOff>145625</xdr:rowOff>
    </xdr:from>
    <xdr:to>
      <xdr:col>18</xdr:col>
      <xdr:colOff>193040</xdr:colOff>
      <xdr:row>14</xdr:row>
      <xdr:rowOff>77892</xdr:rowOff>
    </xdr:to>
    <xdr:sp macro="" textlink="">
      <xdr:nvSpPr>
        <xdr:cNvPr id="11" name="TekstSylinder 10"/>
        <xdr:cNvSpPr txBox="1"/>
      </xdr:nvSpPr>
      <xdr:spPr>
        <a:xfrm>
          <a:off x="8034020" y="4793825"/>
          <a:ext cx="1239520" cy="389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Laveste pris på kort sikt (VEK=DEK)</a:t>
          </a:r>
        </a:p>
      </xdr:txBody>
    </xdr:sp>
    <xdr:clientData/>
  </xdr:twoCellAnchor>
  <xdr:twoCellAnchor>
    <xdr:from>
      <xdr:col>18</xdr:col>
      <xdr:colOff>62230</xdr:colOff>
      <xdr:row>12</xdr:row>
      <xdr:rowOff>18627</xdr:rowOff>
    </xdr:from>
    <xdr:to>
      <xdr:col>19</xdr:col>
      <xdr:colOff>589280</xdr:colOff>
      <xdr:row>14</xdr:row>
      <xdr:rowOff>103294</xdr:rowOff>
    </xdr:to>
    <xdr:sp macro="" textlink="">
      <xdr:nvSpPr>
        <xdr:cNvPr id="12" name="TekstSylinder 11"/>
        <xdr:cNvSpPr txBox="1"/>
      </xdr:nvSpPr>
      <xdr:spPr>
        <a:xfrm>
          <a:off x="9142730" y="4819227"/>
          <a:ext cx="1276350" cy="389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Laveste pris på lang sikt (SEK=DEK)</a:t>
          </a:r>
        </a:p>
      </xdr:txBody>
    </xdr:sp>
    <xdr:clientData/>
  </xdr:twoCellAnchor>
  <xdr:twoCellAnchor>
    <xdr:from>
      <xdr:col>20</xdr:col>
      <xdr:colOff>442807</xdr:colOff>
      <xdr:row>7</xdr:row>
      <xdr:rowOff>152400</xdr:rowOff>
    </xdr:from>
    <xdr:to>
      <xdr:col>21</xdr:col>
      <xdr:colOff>397087</xdr:colOff>
      <xdr:row>10</xdr:row>
      <xdr:rowOff>96520</xdr:rowOff>
    </xdr:to>
    <xdr:sp macro="" textlink="">
      <xdr:nvSpPr>
        <xdr:cNvPr id="13" name="Venstre klammeparentes 12"/>
        <xdr:cNvSpPr/>
      </xdr:nvSpPr>
      <xdr:spPr bwMode="auto">
        <a:xfrm rot="5400000">
          <a:off x="11173037" y="4039870"/>
          <a:ext cx="401320" cy="703580"/>
        </a:xfrm>
        <a:prstGeom prst="leftBrace">
          <a:avLst/>
        </a:prstGeom>
        <a:noFill/>
        <a:ln w="9525" cap="flat" cmpd="sng" algn="ctr">
          <a:solidFill>
            <a:srgbClr val="000000"/>
          </a:solidFill>
          <a:prstDash val="solid"/>
          <a:round/>
          <a:headEnd type="none" w="med" len="med"/>
          <a:tailEnd type="none" w="med" len="med"/>
        </a:ln>
        <a:effectLst/>
      </xdr:spPr>
      <xdr:txBody>
        <a:bodyPr wrap="square"/>
        <a:lstStyle/>
        <a:p>
          <a:endParaRPr lang="nb-NO"/>
        </a:p>
      </xdr:txBody>
    </xdr:sp>
    <xdr:clientData/>
  </xdr:twoCellAnchor>
  <xdr:twoCellAnchor>
    <xdr:from>
      <xdr:col>20</xdr:col>
      <xdr:colOff>457200</xdr:colOff>
      <xdr:row>13</xdr:row>
      <xdr:rowOff>68580</xdr:rowOff>
    </xdr:from>
    <xdr:to>
      <xdr:col>21</xdr:col>
      <xdr:colOff>53340</xdr:colOff>
      <xdr:row>17</xdr:row>
      <xdr:rowOff>149860</xdr:rowOff>
    </xdr:to>
    <xdr:sp macro="" textlink="">
      <xdr:nvSpPr>
        <xdr:cNvPr id="14" name="Venstre klammeparentes 13"/>
        <xdr:cNvSpPr/>
      </xdr:nvSpPr>
      <xdr:spPr bwMode="auto">
        <a:xfrm flipV="1">
          <a:off x="11036300" y="5021580"/>
          <a:ext cx="345440" cy="690880"/>
        </a:xfrm>
        <a:prstGeom prst="lef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21</xdr:col>
      <xdr:colOff>210818</xdr:colOff>
      <xdr:row>13</xdr:row>
      <xdr:rowOff>66040</xdr:rowOff>
    </xdr:from>
    <xdr:to>
      <xdr:col>21</xdr:col>
      <xdr:colOff>455929</xdr:colOff>
      <xdr:row>17</xdr:row>
      <xdr:rowOff>147320</xdr:rowOff>
    </xdr:to>
    <xdr:sp macro="" textlink="">
      <xdr:nvSpPr>
        <xdr:cNvPr id="15" name="Venstre klammeparentes 14"/>
        <xdr:cNvSpPr/>
      </xdr:nvSpPr>
      <xdr:spPr bwMode="auto">
        <a:xfrm rot="10800000" flipV="1">
          <a:off x="11539218" y="5019040"/>
          <a:ext cx="245111" cy="690880"/>
        </a:xfrm>
        <a:prstGeom prst="lef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16</xdr:col>
      <xdr:colOff>118534</xdr:colOff>
      <xdr:row>8</xdr:row>
      <xdr:rowOff>130387</xdr:rowOff>
    </xdr:from>
    <xdr:to>
      <xdr:col>16</xdr:col>
      <xdr:colOff>657014</xdr:colOff>
      <xdr:row>8</xdr:row>
      <xdr:rowOff>135467</xdr:rowOff>
    </xdr:to>
    <xdr:cxnSp macro="">
      <xdr:nvCxnSpPr>
        <xdr:cNvPr id="16" name="Rett pil 15"/>
        <xdr:cNvCxnSpPr/>
      </xdr:nvCxnSpPr>
      <xdr:spPr bwMode="auto">
        <a:xfrm flipH="1">
          <a:off x="7624234" y="4321387"/>
          <a:ext cx="538480" cy="508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16</xdr:col>
      <xdr:colOff>186267</xdr:colOff>
      <xdr:row>10</xdr:row>
      <xdr:rowOff>113454</xdr:rowOff>
    </xdr:from>
    <xdr:to>
      <xdr:col>16</xdr:col>
      <xdr:colOff>201507</xdr:colOff>
      <xdr:row>15</xdr:row>
      <xdr:rowOff>128694</xdr:rowOff>
    </xdr:to>
    <xdr:cxnSp macro="">
      <xdr:nvCxnSpPr>
        <xdr:cNvPr id="17" name="Rett pil 16"/>
        <xdr:cNvCxnSpPr/>
      </xdr:nvCxnSpPr>
      <xdr:spPr bwMode="auto">
        <a:xfrm flipH="1">
          <a:off x="7691967" y="4609254"/>
          <a:ext cx="15240" cy="77724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17</xdr:col>
      <xdr:colOff>742950</xdr:colOff>
      <xdr:row>10</xdr:row>
      <xdr:rowOff>10160</xdr:rowOff>
    </xdr:from>
    <xdr:to>
      <xdr:col>19</xdr:col>
      <xdr:colOff>477520</xdr:colOff>
      <xdr:row>12</xdr:row>
      <xdr:rowOff>72814</xdr:rowOff>
    </xdr:to>
    <xdr:sp macro="" textlink="">
      <xdr:nvSpPr>
        <xdr:cNvPr id="18" name="TekstSylinder 17"/>
        <xdr:cNvSpPr txBox="1"/>
      </xdr:nvSpPr>
      <xdr:spPr>
        <a:xfrm>
          <a:off x="9074150" y="4505960"/>
          <a:ext cx="1233170" cy="367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Kostnadsoptimum (SEK=DEK)</a:t>
          </a:r>
        </a:p>
      </xdr:txBody>
    </xdr:sp>
    <xdr:clientData/>
  </xdr:twoCellAnchor>
  <xdr:twoCellAnchor>
    <xdr:from>
      <xdr:col>18</xdr:col>
      <xdr:colOff>402167</xdr:colOff>
      <xdr:row>16</xdr:row>
      <xdr:rowOff>88054</xdr:rowOff>
    </xdr:from>
    <xdr:to>
      <xdr:col>20</xdr:col>
      <xdr:colOff>91440</xdr:colOff>
      <xdr:row>17</xdr:row>
      <xdr:rowOff>121920</xdr:rowOff>
    </xdr:to>
    <xdr:sp macro="" textlink="">
      <xdr:nvSpPr>
        <xdr:cNvPr id="19" name="Rektangel 18"/>
        <xdr:cNvSpPr/>
      </xdr:nvSpPr>
      <xdr:spPr bwMode="auto">
        <a:xfrm flipV="1">
          <a:off x="9482667" y="5498254"/>
          <a:ext cx="1187873" cy="186266"/>
        </a:xfrm>
        <a:prstGeom prst="rect">
          <a:avLst/>
        </a:prstGeom>
        <a:solidFill>
          <a:srgbClr val="FFFF00">
            <a:alpha val="22000"/>
          </a:srgbClr>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upright="1"/>
        <a:lstStyle/>
        <a:p>
          <a:pPr algn="ctr"/>
          <a:r>
            <a:rPr lang="nb-NO" sz="900"/>
            <a:t>Dekningsbidrag</a:t>
          </a:r>
        </a:p>
      </xdr:txBody>
    </xdr:sp>
    <xdr:clientData/>
  </xdr:twoCellAnchor>
  <xdr:twoCellAnchor>
    <xdr:from>
      <xdr:col>18</xdr:col>
      <xdr:colOff>222462</xdr:colOff>
      <xdr:row>8</xdr:row>
      <xdr:rowOff>40640</xdr:rowOff>
    </xdr:from>
    <xdr:to>
      <xdr:col>19</xdr:col>
      <xdr:colOff>224790</xdr:colOff>
      <xdr:row>9</xdr:row>
      <xdr:rowOff>152400</xdr:rowOff>
    </xdr:to>
    <xdr:sp macro="" textlink="">
      <xdr:nvSpPr>
        <xdr:cNvPr id="20" name="TekstSylinder 19"/>
        <xdr:cNvSpPr txBox="1"/>
      </xdr:nvSpPr>
      <xdr:spPr>
        <a:xfrm>
          <a:off x="9302962" y="4231640"/>
          <a:ext cx="751628" cy="264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Salg ute</a:t>
          </a:r>
        </a:p>
      </xdr:txBody>
    </xdr:sp>
    <xdr:clientData/>
  </xdr:twoCellAnchor>
  <xdr:twoCellAnchor>
    <xdr:from>
      <xdr:col>19</xdr:col>
      <xdr:colOff>224367</xdr:colOff>
      <xdr:row>8</xdr:row>
      <xdr:rowOff>25400</xdr:rowOff>
    </xdr:from>
    <xdr:to>
      <xdr:col>20</xdr:col>
      <xdr:colOff>246380</xdr:colOff>
      <xdr:row>10</xdr:row>
      <xdr:rowOff>67732</xdr:rowOff>
    </xdr:to>
    <xdr:sp macro="" textlink="">
      <xdr:nvSpPr>
        <xdr:cNvPr id="21" name="TekstSylinder 20"/>
        <xdr:cNvSpPr txBox="1"/>
      </xdr:nvSpPr>
      <xdr:spPr>
        <a:xfrm>
          <a:off x="10054167" y="4216400"/>
          <a:ext cx="771313" cy="347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Salg hjemme</a:t>
          </a:r>
        </a:p>
      </xdr:txBody>
    </xdr:sp>
    <xdr:clientData/>
  </xdr:twoCellAnchor>
  <xdr:twoCellAnchor>
    <xdr:from>
      <xdr:col>16</xdr:col>
      <xdr:colOff>118534</xdr:colOff>
      <xdr:row>9</xdr:row>
      <xdr:rowOff>130387</xdr:rowOff>
    </xdr:from>
    <xdr:to>
      <xdr:col>16</xdr:col>
      <xdr:colOff>657014</xdr:colOff>
      <xdr:row>9</xdr:row>
      <xdr:rowOff>135467</xdr:rowOff>
    </xdr:to>
    <xdr:cxnSp macro="">
      <xdr:nvCxnSpPr>
        <xdr:cNvPr id="22" name="Rett pil 21"/>
        <xdr:cNvCxnSpPr/>
      </xdr:nvCxnSpPr>
      <xdr:spPr bwMode="auto">
        <a:xfrm flipH="1">
          <a:off x="7624234" y="4473787"/>
          <a:ext cx="538480" cy="508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16</xdr:col>
      <xdr:colOff>484295</xdr:colOff>
      <xdr:row>10</xdr:row>
      <xdr:rowOff>108373</xdr:rowOff>
    </xdr:from>
    <xdr:to>
      <xdr:col>16</xdr:col>
      <xdr:colOff>499535</xdr:colOff>
      <xdr:row>15</xdr:row>
      <xdr:rowOff>123613</xdr:rowOff>
    </xdr:to>
    <xdr:cxnSp macro="">
      <xdr:nvCxnSpPr>
        <xdr:cNvPr id="23" name="Rett pil 22"/>
        <xdr:cNvCxnSpPr/>
      </xdr:nvCxnSpPr>
      <xdr:spPr bwMode="auto">
        <a:xfrm flipH="1">
          <a:off x="7989995" y="4604173"/>
          <a:ext cx="15240" cy="77724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17</xdr:col>
      <xdr:colOff>129539</xdr:colOff>
      <xdr:row>8</xdr:row>
      <xdr:rowOff>87631</xdr:rowOff>
    </xdr:from>
    <xdr:to>
      <xdr:col>17</xdr:col>
      <xdr:colOff>256540</xdr:colOff>
      <xdr:row>9</xdr:row>
      <xdr:rowOff>62232</xdr:rowOff>
    </xdr:to>
    <xdr:sp macro="" textlink="">
      <xdr:nvSpPr>
        <xdr:cNvPr id="24" name="Ellipse 23"/>
        <xdr:cNvSpPr/>
      </xdr:nvSpPr>
      <xdr:spPr bwMode="auto">
        <a:xfrm>
          <a:off x="8460739" y="4278631"/>
          <a:ext cx="127001" cy="127001"/>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17</xdr:col>
      <xdr:colOff>345439</xdr:colOff>
      <xdr:row>8</xdr:row>
      <xdr:rowOff>74931</xdr:rowOff>
    </xdr:from>
    <xdr:to>
      <xdr:col>17</xdr:col>
      <xdr:colOff>472440</xdr:colOff>
      <xdr:row>9</xdr:row>
      <xdr:rowOff>49532</xdr:rowOff>
    </xdr:to>
    <xdr:sp macro="" textlink="">
      <xdr:nvSpPr>
        <xdr:cNvPr id="25" name="Ellipse 24"/>
        <xdr:cNvSpPr/>
      </xdr:nvSpPr>
      <xdr:spPr bwMode="auto">
        <a:xfrm>
          <a:off x="8676639" y="4265931"/>
          <a:ext cx="127001" cy="127001"/>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20</xdr:col>
      <xdr:colOff>480907</xdr:colOff>
      <xdr:row>10</xdr:row>
      <xdr:rowOff>23707</xdr:rowOff>
    </xdr:from>
    <xdr:to>
      <xdr:col>21</xdr:col>
      <xdr:colOff>412962</xdr:colOff>
      <xdr:row>12</xdr:row>
      <xdr:rowOff>104141</xdr:rowOff>
    </xdr:to>
    <xdr:sp macro="" textlink="">
      <xdr:nvSpPr>
        <xdr:cNvPr id="26" name="Venstre klammeparentes 25"/>
        <xdr:cNvSpPr/>
      </xdr:nvSpPr>
      <xdr:spPr bwMode="auto">
        <a:xfrm rot="5400000">
          <a:off x="11208068" y="4371446"/>
          <a:ext cx="385234" cy="681355"/>
        </a:xfrm>
        <a:prstGeom prst="leftBrace">
          <a:avLst/>
        </a:prstGeom>
        <a:noFill/>
        <a:ln w="9525" cap="flat" cmpd="sng" algn="ctr">
          <a:solidFill>
            <a:srgbClr val="000000"/>
          </a:solidFill>
          <a:prstDash val="solid"/>
          <a:round/>
          <a:headEnd type="none" w="med" len="med"/>
          <a:tailEnd type="none" w="med" len="med"/>
        </a:ln>
        <a:effectLst/>
      </xdr:spPr>
      <xdr:txBody>
        <a:bodyPr wrap="square"/>
        <a:lstStyle/>
        <a:p>
          <a:endParaRPr lang="nb-NO"/>
        </a:p>
      </xdr:txBody>
    </xdr:sp>
    <xdr:clientData/>
  </xdr:twoCellAnchor>
  <xdr:twoCellAnchor>
    <xdr:from>
      <xdr:col>18</xdr:col>
      <xdr:colOff>10159</xdr:colOff>
      <xdr:row>8</xdr:row>
      <xdr:rowOff>77471</xdr:rowOff>
    </xdr:from>
    <xdr:to>
      <xdr:col>18</xdr:col>
      <xdr:colOff>137160</xdr:colOff>
      <xdr:row>9</xdr:row>
      <xdr:rowOff>52072</xdr:rowOff>
    </xdr:to>
    <xdr:sp macro="" textlink="">
      <xdr:nvSpPr>
        <xdr:cNvPr id="27" name="Ellipse 26"/>
        <xdr:cNvSpPr/>
      </xdr:nvSpPr>
      <xdr:spPr bwMode="auto">
        <a:xfrm>
          <a:off x="9090659" y="4268471"/>
          <a:ext cx="127001" cy="127001"/>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104775</xdr:colOff>
          <xdr:row>1</xdr:row>
          <xdr:rowOff>85725</xdr:rowOff>
        </xdr:from>
        <xdr:to>
          <xdr:col>18</xdr:col>
          <xdr:colOff>85725</xdr:colOff>
          <xdr:row>3</xdr:row>
          <xdr:rowOff>76200</xdr:rowOff>
        </xdr:to>
        <xdr:sp macro="" textlink="">
          <xdr:nvSpPr>
            <xdr:cNvPr id="2049" name="Button 1" hidden="1">
              <a:extLst>
                <a:ext uri="{63B3BB69-23CF-44E3-9099-C40C66FF867C}">
                  <a14:compatExt spid="_x0000_s2049"/>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Tilbake</a:t>
              </a:r>
            </a:p>
          </xdr:txBody>
        </xdr:sp>
        <xdr:clientData fPrintsWithSheet="0"/>
      </xdr:twoCellAnchor>
    </mc:Choice>
    <mc:Fallback/>
  </mc:AlternateContent>
  <xdr:twoCellAnchor>
    <xdr:from>
      <xdr:col>0</xdr:col>
      <xdr:colOff>152400</xdr:colOff>
      <xdr:row>0</xdr:row>
      <xdr:rowOff>139700</xdr:rowOff>
    </xdr:from>
    <xdr:to>
      <xdr:col>14</xdr:col>
      <xdr:colOff>596900</xdr:colOff>
      <xdr:row>58</xdr:row>
      <xdr:rowOff>12700</xdr:rowOff>
    </xdr:to>
    <xdr:graphicFrame macro="">
      <xdr:nvGraphicFramePr>
        <xdr:cNvPr id="3" name="Chart 1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331895</xdr:colOff>
      <xdr:row>9</xdr:row>
      <xdr:rowOff>108373</xdr:rowOff>
    </xdr:from>
    <xdr:to>
      <xdr:col>17</xdr:col>
      <xdr:colOff>347135</xdr:colOff>
      <xdr:row>14</xdr:row>
      <xdr:rowOff>123613</xdr:rowOff>
    </xdr:to>
    <xdr:cxnSp macro="">
      <xdr:nvCxnSpPr>
        <xdr:cNvPr id="4" name="Rett pil 3"/>
        <xdr:cNvCxnSpPr/>
      </xdr:nvCxnSpPr>
      <xdr:spPr bwMode="auto">
        <a:xfrm flipH="1">
          <a:off x="7837595" y="4604173"/>
          <a:ext cx="15240" cy="77724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18</xdr:col>
      <xdr:colOff>403860</xdr:colOff>
      <xdr:row>13</xdr:row>
      <xdr:rowOff>90171</xdr:rowOff>
    </xdr:from>
    <xdr:to>
      <xdr:col>19</xdr:col>
      <xdr:colOff>220980</xdr:colOff>
      <xdr:row>14</xdr:row>
      <xdr:rowOff>159597</xdr:rowOff>
    </xdr:to>
    <xdr:sp macro="" textlink="">
      <xdr:nvSpPr>
        <xdr:cNvPr id="5" name="TekstSylinder 4"/>
        <xdr:cNvSpPr txBox="1"/>
      </xdr:nvSpPr>
      <xdr:spPr>
        <a:xfrm>
          <a:off x="8735060" y="5195571"/>
          <a:ext cx="566420" cy="209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a:t>ØDP</a:t>
          </a:r>
        </a:p>
      </xdr:txBody>
    </xdr:sp>
    <xdr:clientData/>
  </xdr:twoCellAnchor>
  <xdr:twoCellAnchor>
    <xdr:from>
      <xdr:col>18</xdr:col>
      <xdr:colOff>356024</xdr:colOff>
      <xdr:row>15</xdr:row>
      <xdr:rowOff>121919</xdr:rowOff>
    </xdr:from>
    <xdr:to>
      <xdr:col>19</xdr:col>
      <xdr:colOff>236219</xdr:colOff>
      <xdr:row>17</xdr:row>
      <xdr:rowOff>38099</xdr:rowOff>
    </xdr:to>
    <xdr:sp macro="" textlink="">
      <xdr:nvSpPr>
        <xdr:cNvPr id="6" name="TekstSylinder 5"/>
        <xdr:cNvSpPr txBox="1"/>
      </xdr:nvSpPr>
      <xdr:spPr>
        <a:xfrm>
          <a:off x="8687224" y="5532119"/>
          <a:ext cx="629495" cy="220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a:t>VOm</a:t>
          </a:r>
        </a:p>
      </xdr:txBody>
    </xdr:sp>
    <xdr:clientData/>
  </xdr:twoCellAnchor>
  <xdr:twoCellAnchor>
    <xdr:from>
      <xdr:col>17</xdr:col>
      <xdr:colOff>515621</xdr:colOff>
      <xdr:row>15</xdr:row>
      <xdr:rowOff>129540</xdr:rowOff>
    </xdr:from>
    <xdr:to>
      <xdr:col>18</xdr:col>
      <xdr:colOff>347980</xdr:colOff>
      <xdr:row>17</xdr:row>
      <xdr:rowOff>35560</xdr:rowOff>
    </xdr:to>
    <xdr:sp macro="" textlink="">
      <xdr:nvSpPr>
        <xdr:cNvPr id="7" name="TekstSylinder 6"/>
        <xdr:cNvSpPr txBox="1"/>
      </xdr:nvSpPr>
      <xdr:spPr>
        <a:xfrm>
          <a:off x="8021321" y="5539740"/>
          <a:ext cx="657859" cy="210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VOp</a:t>
          </a:r>
        </a:p>
      </xdr:txBody>
    </xdr:sp>
    <xdr:clientData/>
  </xdr:twoCellAnchor>
  <xdr:twoCellAnchor>
    <xdr:from>
      <xdr:col>19</xdr:col>
      <xdr:colOff>399627</xdr:colOff>
      <xdr:row>13</xdr:row>
      <xdr:rowOff>118534</xdr:rowOff>
    </xdr:from>
    <xdr:to>
      <xdr:col>21</xdr:col>
      <xdr:colOff>91440</xdr:colOff>
      <xdr:row>14</xdr:row>
      <xdr:rowOff>159174</xdr:rowOff>
    </xdr:to>
    <xdr:sp macro="" textlink="">
      <xdr:nvSpPr>
        <xdr:cNvPr id="8" name="Rektangel 7"/>
        <xdr:cNvSpPr/>
      </xdr:nvSpPr>
      <xdr:spPr bwMode="auto">
        <a:xfrm flipV="1">
          <a:off x="9480127" y="5223934"/>
          <a:ext cx="1190413" cy="180340"/>
        </a:xfrm>
        <a:prstGeom prst="rect">
          <a:avLst/>
        </a:prstGeom>
        <a:solidFill>
          <a:srgbClr val="FFFF00">
            <a:alpha val="22000"/>
          </a:srgbClr>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upright="1"/>
        <a:lstStyle/>
        <a:p>
          <a:pPr algn="ctr"/>
          <a:r>
            <a:rPr lang="nb-NO" sz="900"/>
            <a:t>Overskudd</a:t>
          </a:r>
        </a:p>
      </xdr:txBody>
    </xdr:sp>
    <xdr:clientData/>
  </xdr:twoCellAnchor>
  <xdr:twoCellAnchor>
    <xdr:from>
      <xdr:col>17</xdr:col>
      <xdr:colOff>615950</xdr:colOff>
      <xdr:row>13</xdr:row>
      <xdr:rowOff>96520</xdr:rowOff>
    </xdr:from>
    <xdr:to>
      <xdr:col>18</xdr:col>
      <xdr:colOff>375920</xdr:colOff>
      <xdr:row>15</xdr:row>
      <xdr:rowOff>27940</xdr:rowOff>
    </xdr:to>
    <xdr:sp macro="" textlink="">
      <xdr:nvSpPr>
        <xdr:cNvPr id="9" name="TekstSylinder 8"/>
        <xdr:cNvSpPr txBox="1"/>
      </xdr:nvSpPr>
      <xdr:spPr>
        <a:xfrm>
          <a:off x="8121650" y="5201920"/>
          <a:ext cx="58547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a:t>NDP</a:t>
          </a:r>
        </a:p>
      </xdr:txBody>
    </xdr:sp>
    <xdr:clientData/>
  </xdr:twoCellAnchor>
  <xdr:twoCellAnchor>
    <xdr:from>
      <xdr:col>18</xdr:col>
      <xdr:colOff>423</xdr:colOff>
      <xdr:row>8</xdr:row>
      <xdr:rowOff>144781</xdr:rowOff>
    </xdr:from>
    <xdr:to>
      <xdr:col>19</xdr:col>
      <xdr:colOff>91440</xdr:colOff>
      <xdr:row>11</xdr:row>
      <xdr:rowOff>10161</xdr:rowOff>
    </xdr:to>
    <xdr:sp macro="" textlink="">
      <xdr:nvSpPr>
        <xdr:cNvPr id="10" name="TekstSylinder 9"/>
        <xdr:cNvSpPr txBox="1"/>
      </xdr:nvSpPr>
      <xdr:spPr>
        <a:xfrm>
          <a:off x="8331623" y="4488181"/>
          <a:ext cx="840317" cy="322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VO</a:t>
          </a:r>
          <a:r>
            <a:rPr lang="nb-NO" sz="800" baseline="0"/>
            <a:t> (DEI=DEK)</a:t>
          </a:r>
          <a:endParaRPr lang="nb-NO" sz="800"/>
        </a:p>
      </xdr:txBody>
    </xdr:sp>
    <xdr:clientData/>
  </xdr:twoCellAnchor>
  <xdr:twoCellAnchor>
    <xdr:from>
      <xdr:col>17</xdr:col>
      <xdr:colOff>528320</xdr:colOff>
      <xdr:row>10</xdr:row>
      <xdr:rowOff>145625</xdr:rowOff>
    </xdr:from>
    <xdr:to>
      <xdr:col>19</xdr:col>
      <xdr:colOff>193040</xdr:colOff>
      <xdr:row>13</xdr:row>
      <xdr:rowOff>77892</xdr:rowOff>
    </xdr:to>
    <xdr:sp macro="" textlink="">
      <xdr:nvSpPr>
        <xdr:cNvPr id="11" name="TekstSylinder 10"/>
        <xdr:cNvSpPr txBox="1"/>
      </xdr:nvSpPr>
      <xdr:spPr>
        <a:xfrm>
          <a:off x="8034020" y="4793825"/>
          <a:ext cx="1239520" cy="389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Laveste pris på kort sikt (VEK=DEK)</a:t>
          </a:r>
        </a:p>
      </xdr:txBody>
    </xdr:sp>
    <xdr:clientData/>
  </xdr:twoCellAnchor>
  <xdr:twoCellAnchor>
    <xdr:from>
      <xdr:col>19</xdr:col>
      <xdr:colOff>62230</xdr:colOff>
      <xdr:row>11</xdr:row>
      <xdr:rowOff>18627</xdr:rowOff>
    </xdr:from>
    <xdr:to>
      <xdr:col>20</xdr:col>
      <xdr:colOff>589280</xdr:colOff>
      <xdr:row>13</xdr:row>
      <xdr:rowOff>103294</xdr:rowOff>
    </xdr:to>
    <xdr:sp macro="" textlink="">
      <xdr:nvSpPr>
        <xdr:cNvPr id="12" name="TekstSylinder 11"/>
        <xdr:cNvSpPr txBox="1"/>
      </xdr:nvSpPr>
      <xdr:spPr>
        <a:xfrm>
          <a:off x="9142730" y="4819227"/>
          <a:ext cx="1276350" cy="389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Laveste pris på lang sikt (SEK=DEK)</a:t>
          </a:r>
        </a:p>
      </xdr:txBody>
    </xdr:sp>
    <xdr:clientData/>
  </xdr:twoCellAnchor>
  <xdr:twoCellAnchor>
    <xdr:from>
      <xdr:col>21</xdr:col>
      <xdr:colOff>442807</xdr:colOff>
      <xdr:row>6</xdr:row>
      <xdr:rowOff>152400</xdr:rowOff>
    </xdr:from>
    <xdr:to>
      <xdr:col>22</xdr:col>
      <xdr:colOff>397087</xdr:colOff>
      <xdr:row>9</xdr:row>
      <xdr:rowOff>96520</xdr:rowOff>
    </xdr:to>
    <xdr:sp macro="" textlink="">
      <xdr:nvSpPr>
        <xdr:cNvPr id="13" name="Venstre klammeparentes 12"/>
        <xdr:cNvSpPr/>
      </xdr:nvSpPr>
      <xdr:spPr bwMode="auto">
        <a:xfrm rot="5400000">
          <a:off x="11173037" y="4039870"/>
          <a:ext cx="401320" cy="703580"/>
        </a:xfrm>
        <a:prstGeom prst="leftBrace">
          <a:avLst/>
        </a:prstGeom>
        <a:noFill/>
        <a:ln w="9525" cap="flat" cmpd="sng" algn="ctr">
          <a:solidFill>
            <a:srgbClr val="000000"/>
          </a:solidFill>
          <a:prstDash val="solid"/>
          <a:round/>
          <a:headEnd type="none" w="med" len="med"/>
          <a:tailEnd type="none" w="med" len="med"/>
        </a:ln>
        <a:effectLst/>
      </xdr:spPr>
      <xdr:txBody>
        <a:bodyPr wrap="square"/>
        <a:lstStyle/>
        <a:p>
          <a:endParaRPr lang="nb-NO"/>
        </a:p>
      </xdr:txBody>
    </xdr:sp>
    <xdr:clientData/>
  </xdr:twoCellAnchor>
  <xdr:twoCellAnchor>
    <xdr:from>
      <xdr:col>21</xdr:col>
      <xdr:colOff>457200</xdr:colOff>
      <xdr:row>12</xdr:row>
      <xdr:rowOff>68580</xdr:rowOff>
    </xdr:from>
    <xdr:to>
      <xdr:col>22</xdr:col>
      <xdr:colOff>53340</xdr:colOff>
      <xdr:row>16</xdr:row>
      <xdr:rowOff>149860</xdr:rowOff>
    </xdr:to>
    <xdr:sp macro="" textlink="">
      <xdr:nvSpPr>
        <xdr:cNvPr id="14" name="Venstre klammeparentes 13"/>
        <xdr:cNvSpPr/>
      </xdr:nvSpPr>
      <xdr:spPr bwMode="auto">
        <a:xfrm flipV="1">
          <a:off x="11036300" y="5021580"/>
          <a:ext cx="345440" cy="690880"/>
        </a:xfrm>
        <a:prstGeom prst="lef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22</xdr:col>
      <xdr:colOff>210818</xdr:colOff>
      <xdr:row>12</xdr:row>
      <xdr:rowOff>66040</xdr:rowOff>
    </xdr:from>
    <xdr:to>
      <xdr:col>22</xdr:col>
      <xdr:colOff>455929</xdr:colOff>
      <xdr:row>16</xdr:row>
      <xdr:rowOff>147320</xdr:rowOff>
    </xdr:to>
    <xdr:sp macro="" textlink="">
      <xdr:nvSpPr>
        <xdr:cNvPr id="15" name="Venstre klammeparentes 14"/>
        <xdr:cNvSpPr/>
      </xdr:nvSpPr>
      <xdr:spPr bwMode="auto">
        <a:xfrm rot="10800000" flipV="1">
          <a:off x="11539218" y="5019040"/>
          <a:ext cx="245111" cy="690880"/>
        </a:xfrm>
        <a:prstGeom prst="lef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17</xdr:col>
      <xdr:colOff>118534</xdr:colOff>
      <xdr:row>7</xdr:row>
      <xdr:rowOff>130387</xdr:rowOff>
    </xdr:from>
    <xdr:to>
      <xdr:col>17</xdr:col>
      <xdr:colOff>657014</xdr:colOff>
      <xdr:row>7</xdr:row>
      <xdr:rowOff>135467</xdr:rowOff>
    </xdr:to>
    <xdr:cxnSp macro="">
      <xdr:nvCxnSpPr>
        <xdr:cNvPr id="16" name="Rett pil 15"/>
        <xdr:cNvCxnSpPr/>
      </xdr:nvCxnSpPr>
      <xdr:spPr bwMode="auto">
        <a:xfrm flipH="1">
          <a:off x="7624234" y="4321387"/>
          <a:ext cx="538480" cy="508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17</xdr:col>
      <xdr:colOff>186267</xdr:colOff>
      <xdr:row>9</xdr:row>
      <xdr:rowOff>113454</xdr:rowOff>
    </xdr:from>
    <xdr:to>
      <xdr:col>17</xdr:col>
      <xdr:colOff>201507</xdr:colOff>
      <xdr:row>14</xdr:row>
      <xdr:rowOff>128694</xdr:rowOff>
    </xdr:to>
    <xdr:cxnSp macro="">
      <xdr:nvCxnSpPr>
        <xdr:cNvPr id="17" name="Rett pil 16"/>
        <xdr:cNvCxnSpPr/>
      </xdr:nvCxnSpPr>
      <xdr:spPr bwMode="auto">
        <a:xfrm flipH="1">
          <a:off x="7691967" y="4609254"/>
          <a:ext cx="15240" cy="77724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18</xdr:col>
      <xdr:colOff>742950</xdr:colOff>
      <xdr:row>9</xdr:row>
      <xdr:rowOff>10160</xdr:rowOff>
    </xdr:from>
    <xdr:to>
      <xdr:col>20</xdr:col>
      <xdr:colOff>477520</xdr:colOff>
      <xdr:row>11</xdr:row>
      <xdr:rowOff>72814</xdr:rowOff>
    </xdr:to>
    <xdr:sp macro="" textlink="">
      <xdr:nvSpPr>
        <xdr:cNvPr id="18" name="TekstSylinder 17"/>
        <xdr:cNvSpPr txBox="1"/>
      </xdr:nvSpPr>
      <xdr:spPr>
        <a:xfrm>
          <a:off x="9074150" y="4505960"/>
          <a:ext cx="1233170" cy="367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Kostnadsoptimum (SEK=DEK)</a:t>
          </a:r>
        </a:p>
      </xdr:txBody>
    </xdr:sp>
    <xdr:clientData/>
  </xdr:twoCellAnchor>
  <xdr:twoCellAnchor>
    <xdr:from>
      <xdr:col>19</xdr:col>
      <xdr:colOff>402167</xdr:colOff>
      <xdr:row>15</xdr:row>
      <xdr:rowOff>88054</xdr:rowOff>
    </xdr:from>
    <xdr:to>
      <xdr:col>21</xdr:col>
      <xdr:colOff>91440</xdr:colOff>
      <xdr:row>16</xdr:row>
      <xdr:rowOff>121920</xdr:rowOff>
    </xdr:to>
    <xdr:sp macro="" textlink="">
      <xdr:nvSpPr>
        <xdr:cNvPr id="19" name="Rektangel 18"/>
        <xdr:cNvSpPr/>
      </xdr:nvSpPr>
      <xdr:spPr bwMode="auto">
        <a:xfrm flipV="1">
          <a:off x="9482667" y="5498254"/>
          <a:ext cx="1187873" cy="186266"/>
        </a:xfrm>
        <a:prstGeom prst="rect">
          <a:avLst/>
        </a:prstGeom>
        <a:solidFill>
          <a:srgbClr val="FFFF00">
            <a:alpha val="22000"/>
          </a:srgbClr>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upright="1"/>
        <a:lstStyle/>
        <a:p>
          <a:pPr algn="ctr"/>
          <a:r>
            <a:rPr lang="nb-NO" sz="900"/>
            <a:t>Dekningsbidrag</a:t>
          </a:r>
        </a:p>
      </xdr:txBody>
    </xdr:sp>
    <xdr:clientData/>
  </xdr:twoCellAnchor>
  <xdr:twoCellAnchor>
    <xdr:from>
      <xdr:col>19</xdr:col>
      <xdr:colOff>222462</xdr:colOff>
      <xdr:row>7</xdr:row>
      <xdr:rowOff>40640</xdr:rowOff>
    </xdr:from>
    <xdr:to>
      <xdr:col>20</xdr:col>
      <xdr:colOff>224790</xdr:colOff>
      <xdr:row>8</xdr:row>
      <xdr:rowOff>152400</xdr:rowOff>
    </xdr:to>
    <xdr:sp macro="" textlink="">
      <xdr:nvSpPr>
        <xdr:cNvPr id="20" name="TekstSylinder 19"/>
        <xdr:cNvSpPr txBox="1"/>
      </xdr:nvSpPr>
      <xdr:spPr>
        <a:xfrm>
          <a:off x="9302962" y="4231640"/>
          <a:ext cx="751628" cy="264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Salg ute</a:t>
          </a:r>
        </a:p>
      </xdr:txBody>
    </xdr:sp>
    <xdr:clientData/>
  </xdr:twoCellAnchor>
  <xdr:twoCellAnchor>
    <xdr:from>
      <xdr:col>20</xdr:col>
      <xdr:colOff>224367</xdr:colOff>
      <xdr:row>7</xdr:row>
      <xdr:rowOff>25400</xdr:rowOff>
    </xdr:from>
    <xdr:to>
      <xdr:col>21</xdr:col>
      <xdr:colOff>246380</xdr:colOff>
      <xdr:row>9</xdr:row>
      <xdr:rowOff>67732</xdr:rowOff>
    </xdr:to>
    <xdr:sp macro="" textlink="">
      <xdr:nvSpPr>
        <xdr:cNvPr id="21" name="TekstSylinder 20"/>
        <xdr:cNvSpPr txBox="1"/>
      </xdr:nvSpPr>
      <xdr:spPr>
        <a:xfrm>
          <a:off x="10054167" y="4216400"/>
          <a:ext cx="771313" cy="347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b-NO" sz="800"/>
            <a:t>Salg hjemme</a:t>
          </a:r>
        </a:p>
      </xdr:txBody>
    </xdr:sp>
    <xdr:clientData/>
  </xdr:twoCellAnchor>
  <xdr:twoCellAnchor>
    <xdr:from>
      <xdr:col>17</xdr:col>
      <xdr:colOff>118534</xdr:colOff>
      <xdr:row>8</xdr:row>
      <xdr:rowOff>130387</xdr:rowOff>
    </xdr:from>
    <xdr:to>
      <xdr:col>17</xdr:col>
      <xdr:colOff>657014</xdr:colOff>
      <xdr:row>8</xdr:row>
      <xdr:rowOff>135467</xdr:rowOff>
    </xdr:to>
    <xdr:cxnSp macro="">
      <xdr:nvCxnSpPr>
        <xdr:cNvPr id="22" name="Rett pil 21"/>
        <xdr:cNvCxnSpPr/>
      </xdr:nvCxnSpPr>
      <xdr:spPr bwMode="auto">
        <a:xfrm flipH="1">
          <a:off x="7624234" y="4473787"/>
          <a:ext cx="538480" cy="508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17</xdr:col>
      <xdr:colOff>484295</xdr:colOff>
      <xdr:row>9</xdr:row>
      <xdr:rowOff>108373</xdr:rowOff>
    </xdr:from>
    <xdr:to>
      <xdr:col>17</xdr:col>
      <xdr:colOff>499535</xdr:colOff>
      <xdr:row>14</xdr:row>
      <xdr:rowOff>123613</xdr:rowOff>
    </xdr:to>
    <xdr:cxnSp macro="">
      <xdr:nvCxnSpPr>
        <xdr:cNvPr id="23" name="Rett pil 22"/>
        <xdr:cNvCxnSpPr/>
      </xdr:nvCxnSpPr>
      <xdr:spPr bwMode="auto">
        <a:xfrm flipH="1">
          <a:off x="7989995" y="4604173"/>
          <a:ext cx="15240" cy="777240"/>
        </a:xfrm>
        <a:prstGeom prst="straightConnector1">
          <a:avLst/>
        </a:prstGeom>
        <a:solidFill>
          <a:srgbClr val="FFFFFF"/>
        </a:solidFill>
        <a:ln w="9525" cap="flat" cmpd="sng" algn="ctr">
          <a:solidFill>
            <a:srgbClr val="000000"/>
          </a:solidFill>
          <a:prstDash val="solid"/>
          <a:round/>
          <a:headEnd type="none" w="med" len="med"/>
          <a:tailEnd type="triangle" w="med" len="med"/>
        </a:ln>
        <a:effectLst/>
      </xdr:spPr>
    </xdr:cxnSp>
    <xdr:clientData/>
  </xdr:twoCellAnchor>
  <xdr:twoCellAnchor>
    <xdr:from>
      <xdr:col>18</xdr:col>
      <xdr:colOff>129539</xdr:colOff>
      <xdr:row>7</xdr:row>
      <xdr:rowOff>87631</xdr:rowOff>
    </xdr:from>
    <xdr:to>
      <xdr:col>18</xdr:col>
      <xdr:colOff>256540</xdr:colOff>
      <xdr:row>8</xdr:row>
      <xdr:rowOff>62232</xdr:rowOff>
    </xdr:to>
    <xdr:sp macro="" textlink="">
      <xdr:nvSpPr>
        <xdr:cNvPr id="24" name="Ellipse 23"/>
        <xdr:cNvSpPr/>
      </xdr:nvSpPr>
      <xdr:spPr bwMode="auto">
        <a:xfrm>
          <a:off x="8460739" y="4278631"/>
          <a:ext cx="127001" cy="127001"/>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18</xdr:col>
      <xdr:colOff>345439</xdr:colOff>
      <xdr:row>7</xdr:row>
      <xdr:rowOff>74931</xdr:rowOff>
    </xdr:from>
    <xdr:to>
      <xdr:col>18</xdr:col>
      <xdr:colOff>472440</xdr:colOff>
      <xdr:row>8</xdr:row>
      <xdr:rowOff>49532</xdr:rowOff>
    </xdr:to>
    <xdr:sp macro="" textlink="">
      <xdr:nvSpPr>
        <xdr:cNvPr id="25" name="Ellipse 24"/>
        <xdr:cNvSpPr/>
      </xdr:nvSpPr>
      <xdr:spPr bwMode="auto">
        <a:xfrm>
          <a:off x="8676639" y="4265931"/>
          <a:ext cx="127001" cy="127001"/>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21</xdr:col>
      <xdr:colOff>480907</xdr:colOff>
      <xdr:row>9</xdr:row>
      <xdr:rowOff>23707</xdr:rowOff>
    </xdr:from>
    <xdr:to>
      <xdr:col>22</xdr:col>
      <xdr:colOff>412962</xdr:colOff>
      <xdr:row>11</xdr:row>
      <xdr:rowOff>104141</xdr:rowOff>
    </xdr:to>
    <xdr:sp macro="" textlink="">
      <xdr:nvSpPr>
        <xdr:cNvPr id="26" name="Venstre klammeparentes 25"/>
        <xdr:cNvSpPr/>
      </xdr:nvSpPr>
      <xdr:spPr bwMode="auto">
        <a:xfrm rot="5400000">
          <a:off x="11208068" y="4371446"/>
          <a:ext cx="385234" cy="681355"/>
        </a:xfrm>
        <a:prstGeom prst="leftBrace">
          <a:avLst/>
        </a:prstGeom>
        <a:noFill/>
        <a:ln w="9525" cap="flat" cmpd="sng" algn="ctr">
          <a:solidFill>
            <a:srgbClr val="000000"/>
          </a:solidFill>
          <a:prstDash val="solid"/>
          <a:round/>
          <a:headEnd type="none" w="med" len="med"/>
          <a:tailEnd type="none" w="med" len="med"/>
        </a:ln>
        <a:effectLst/>
      </xdr:spPr>
      <xdr:txBody>
        <a:bodyPr wrap="square"/>
        <a:lstStyle/>
        <a:p>
          <a:endParaRPr lang="nb-NO"/>
        </a:p>
      </xdr:txBody>
    </xdr:sp>
    <xdr:clientData/>
  </xdr:twoCellAnchor>
  <xdr:twoCellAnchor>
    <xdr:from>
      <xdr:col>19</xdr:col>
      <xdr:colOff>10159</xdr:colOff>
      <xdr:row>7</xdr:row>
      <xdr:rowOff>77471</xdr:rowOff>
    </xdr:from>
    <xdr:to>
      <xdr:col>19</xdr:col>
      <xdr:colOff>137160</xdr:colOff>
      <xdr:row>8</xdr:row>
      <xdr:rowOff>52072</xdr:rowOff>
    </xdr:to>
    <xdr:sp macro="" textlink="">
      <xdr:nvSpPr>
        <xdr:cNvPr id="27" name="Ellipse 26"/>
        <xdr:cNvSpPr/>
      </xdr:nvSpPr>
      <xdr:spPr bwMode="auto">
        <a:xfrm>
          <a:off x="9090659" y="4268471"/>
          <a:ext cx="127001" cy="127001"/>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16933</xdr:colOff>
      <xdr:row>187</xdr:row>
      <xdr:rowOff>47430</xdr:rowOff>
    </xdr:from>
    <xdr:to>
      <xdr:col>14</xdr:col>
      <xdr:colOff>789215</xdr:colOff>
      <xdr:row>195</xdr:row>
      <xdr:rowOff>161637</xdr:rowOff>
    </xdr:to>
    <xdr:pic>
      <xdr:nvPicPr>
        <xdr:cNvPr id="138" name="Bilde 13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71066" y="27792697"/>
          <a:ext cx="4988682" cy="1501969"/>
        </a:xfrm>
        <a:prstGeom prst="rect">
          <a:avLst/>
        </a:prstGeom>
      </xdr:spPr>
    </xdr:pic>
    <xdr:clientData/>
  </xdr:twoCellAnchor>
  <xdr:twoCellAnchor editAs="oneCell">
    <xdr:from>
      <xdr:col>0</xdr:col>
      <xdr:colOff>0</xdr:colOff>
      <xdr:row>124</xdr:row>
      <xdr:rowOff>0</xdr:rowOff>
    </xdr:from>
    <xdr:to>
      <xdr:col>14</xdr:col>
      <xdr:colOff>298050</xdr:colOff>
      <xdr:row>153</xdr:row>
      <xdr:rowOff>281902</xdr:rowOff>
    </xdr:to>
    <xdr:pic>
      <xdr:nvPicPr>
        <xdr:cNvPr id="2" name="Bild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66732727"/>
          <a:ext cx="10058400" cy="5414301"/>
        </a:xfrm>
        <a:prstGeom prst="rect">
          <a:avLst/>
        </a:prstGeom>
      </xdr:spPr>
    </xdr:pic>
    <xdr:clientData/>
  </xdr:twoCellAnchor>
  <xdr:twoCellAnchor>
    <xdr:from>
      <xdr:col>1</xdr:col>
      <xdr:colOff>389467</xdr:colOff>
      <xdr:row>123</xdr:row>
      <xdr:rowOff>57187</xdr:rowOff>
    </xdr:from>
    <xdr:to>
      <xdr:col>2</xdr:col>
      <xdr:colOff>330796</xdr:colOff>
      <xdr:row>125</xdr:row>
      <xdr:rowOff>93133</xdr:rowOff>
    </xdr:to>
    <xdr:cxnSp macro="">
      <xdr:nvCxnSpPr>
        <xdr:cNvPr id="7" name="Rett linje 6"/>
        <xdr:cNvCxnSpPr>
          <a:stCxn id="5" idx="2"/>
        </xdr:cNvCxnSpPr>
      </xdr:nvCxnSpPr>
      <xdr:spPr bwMode="auto">
        <a:xfrm flipH="1">
          <a:off x="1024467" y="1301787"/>
          <a:ext cx="644062" cy="391546"/>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0</xdr:col>
      <xdr:colOff>497010</xdr:colOff>
      <xdr:row>120</xdr:row>
      <xdr:rowOff>42334</xdr:rowOff>
    </xdr:from>
    <xdr:to>
      <xdr:col>4</xdr:col>
      <xdr:colOff>96848</xdr:colOff>
      <xdr:row>123</xdr:row>
      <xdr:rowOff>57187</xdr:rowOff>
    </xdr:to>
    <xdr:sp macro="" textlink="">
      <xdr:nvSpPr>
        <xdr:cNvPr id="5" name="TekstSylinder 4"/>
        <xdr:cNvSpPr txBox="1"/>
      </xdr:nvSpPr>
      <xdr:spPr>
        <a:xfrm>
          <a:off x="497010" y="753534"/>
          <a:ext cx="2343038" cy="548253"/>
        </a:xfrm>
        <a:prstGeom prst="rect">
          <a:avLst/>
        </a:prstGeom>
        <a:solidFill>
          <a:srgbClr val="FF0000"/>
        </a:solidFill>
        <a:ln w="9525" cmpd="sng">
          <a:solidFill>
            <a:schemeClr val="lt1">
              <a:shade val="50000"/>
            </a:schemeClr>
          </a:solidFill>
        </a:ln>
        <a:effectLst>
          <a:outerShdw blurRad="50800" dist="762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900">
              <a:solidFill>
                <a:schemeClr val="bg1"/>
              </a:solidFill>
            </a:rPr>
            <a:t>Knapper for gå</a:t>
          </a:r>
          <a:r>
            <a:rPr lang="nb-NO" sz="900" baseline="0">
              <a:solidFill>
                <a:schemeClr val="bg1"/>
              </a:solidFill>
            </a:rPr>
            <a:t> til andre arkfaner, slette mv.</a:t>
          </a:r>
        </a:p>
        <a:p>
          <a:pPr algn="l"/>
          <a:r>
            <a:rPr lang="nb-NO" sz="900" baseline="0">
              <a:solidFill>
                <a:schemeClr val="bg1"/>
              </a:solidFill>
            </a:rPr>
            <a:t>Du kan også gå til andre arkfaner ved å klikke på arkfanene nederst i arket</a:t>
          </a:r>
          <a:endParaRPr lang="nb-NO" sz="900">
            <a:solidFill>
              <a:schemeClr val="bg1"/>
            </a:solidFill>
          </a:endParaRPr>
        </a:p>
      </xdr:txBody>
    </xdr:sp>
    <xdr:clientData/>
  </xdr:twoCellAnchor>
  <xdr:twoCellAnchor>
    <xdr:from>
      <xdr:col>2</xdr:col>
      <xdr:colOff>330796</xdr:colOff>
      <xdr:row>123</xdr:row>
      <xdr:rowOff>57187</xdr:rowOff>
    </xdr:from>
    <xdr:to>
      <xdr:col>3</xdr:col>
      <xdr:colOff>635000</xdr:colOff>
      <xdr:row>125</xdr:row>
      <xdr:rowOff>127000</xdr:rowOff>
    </xdr:to>
    <xdr:cxnSp macro="">
      <xdr:nvCxnSpPr>
        <xdr:cNvPr id="11" name="Rett linje 10"/>
        <xdr:cNvCxnSpPr>
          <a:stCxn id="5" idx="2"/>
        </xdr:cNvCxnSpPr>
      </xdr:nvCxnSpPr>
      <xdr:spPr bwMode="auto">
        <a:xfrm>
          <a:off x="1668529" y="1301787"/>
          <a:ext cx="1006938" cy="425413"/>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2</xdr:col>
      <xdr:colOff>313267</xdr:colOff>
      <xdr:row>122</xdr:row>
      <xdr:rowOff>169333</xdr:rowOff>
    </xdr:from>
    <xdr:to>
      <xdr:col>2</xdr:col>
      <xdr:colOff>651934</xdr:colOff>
      <xdr:row>125</xdr:row>
      <xdr:rowOff>118533</xdr:rowOff>
    </xdr:to>
    <xdr:cxnSp macro="">
      <xdr:nvCxnSpPr>
        <xdr:cNvPr id="12" name="Rett linje 11"/>
        <xdr:cNvCxnSpPr/>
      </xdr:nvCxnSpPr>
      <xdr:spPr bwMode="auto">
        <a:xfrm>
          <a:off x="1651000" y="1236133"/>
          <a:ext cx="338667" cy="4826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2</xdr:col>
      <xdr:colOff>330796</xdr:colOff>
      <xdr:row>123</xdr:row>
      <xdr:rowOff>57187</xdr:rowOff>
    </xdr:from>
    <xdr:to>
      <xdr:col>5</xdr:col>
      <xdr:colOff>8467</xdr:colOff>
      <xdr:row>125</xdr:row>
      <xdr:rowOff>101600</xdr:rowOff>
    </xdr:to>
    <xdr:cxnSp macro="">
      <xdr:nvCxnSpPr>
        <xdr:cNvPr id="13" name="Rett linje 12"/>
        <xdr:cNvCxnSpPr>
          <a:stCxn id="5" idx="2"/>
        </xdr:cNvCxnSpPr>
      </xdr:nvCxnSpPr>
      <xdr:spPr bwMode="auto">
        <a:xfrm>
          <a:off x="1668529" y="1301787"/>
          <a:ext cx="1785871" cy="400013"/>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0</xdr:col>
      <xdr:colOff>575733</xdr:colOff>
      <xdr:row>123</xdr:row>
      <xdr:rowOff>93133</xdr:rowOff>
    </xdr:from>
    <xdr:to>
      <xdr:col>2</xdr:col>
      <xdr:colOff>497343</xdr:colOff>
      <xdr:row>153</xdr:row>
      <xdr:rowOff>53287</xdr:rowOff>
    </xdr:to>
    <xdr:cxnSp macro="">
      <xdr:nvCxnSpPr>
        <xdr:cNvPr id="22" name="Rett linje 21"/>
        <xdr:cNvCxnSpPr/>
      </xdr:nvCxnSpPr>
      <xdr:spPr bwMode="auto">
        <a:xfrm>
          <a:off x="575733" y="66648238"/>
          <a:ext cx="1262659" cy="5288825"/>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4</xdr:col>
      <xdr:colOff>268409</xdr:colOff>
      <xdr:row>120</xdr:row>
      <xdr:rowOff>42333</xdr:rowOff>
    </xdr:from>
    <xdr:to>
      <xdr:col>5</xdr:col>
      <xdr:colOff>355600</xdr:colOff>
      <xdr:row>121</xdr:row>
      <xdr:rowOff>175720</xdr:rowOff>
    </xdr:to>
    <xdr:sp macro="" textlink="">
      <xdr:nvSpPr>
        <xdr:cNvPr id="26" name="TekstSylinder 25"/>
        <xdr:cNvSpPr txBox="1"/>
      </xdr:nvSpPr>
      <xdr:spPr>
        <a:xfrm>
          <a:off x="3011609" y="753533"/>
          <a:ext cx="789924" cy="311187"/>
        </a:xfrm>
        <a:prstGeom prst="rect">
          <a:avLst/>
        </a:prstGeom>
        <a:solidFill>
          <a:srgbClr val="FF0000"/>
        </a:solidFill>
        <a:ln w="9525" cmpd="sng">
          <a:solidFill>
            <a:schemeClr val="lt1">
              <a:shade val="50000"/>
            </a:schemeClr>
          </a:solidFill>
        </a:ln>
        <a:effectLst>
          <a:outerShdw blurRad="50800" dist="762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900">
              <a:solidFill>
                <a:schemeClr val="bg1"/>
              </a:solidFill>
            </a:rPr>
            <a:t>Inndatafelt</a:t>
          </a:r>
        </a:p>
      </xdr:txBody>
    </xdr:sp>
    <xdr:clientData/>
  </xdr:twoCellAnchor>
  <xdr:twoCellAnchor>
    <xdr:from>
      <xdr:col>3</xdr:col>
      <xdr:colOff>694266</xdr:colOff>
      <xdr:row>121</xdr:row>
      <xdr:rowOff>175720</xdr:rowOff>
    </xdr:from>
    <xdr:to>
      <xdr:col>4</xdr:col>
      <xdr:colOff>663371</xdr:colOff>
      <xdr:row>128</xdr:row>
      <xdr:rowOff>143933</xdr:rowOff>
    </xdr:to>
    <xdr:cxnSp macro="">
      <xdr:nvCxnSpPr>
        <xdr:cNvPr id="27" name="Rett linje 26"/>
        <xdr:cNvCxnSpPr>
          <a:stCxn id="26" idx="2"/>
        </xdr:cNvCxnSpPr>
      </xdr:nvCxnSpPr>
      <xdr:spPr bwMode="auto">
        <a:xfrm flipH="1">
          <a:off x="2734733" y="1064720"/>
          <a:ext cx="671838" cy="1212813"/>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4</xdr:col>
      <xdr:colOff>541867</xdr:colOff>
      <xdr:row>121</xdr:row>
      <xdr:rowOff>175720</xdr:rowOff>
    </xdr:from>
    <xdr:to>
      <xdr:col>4</xdr:col>
      <xdr:colOff>663371</xdr:colOff>
      <xdr:row>143</xdr:row>
      <xdr:rowOff>160867</xdr:rowOff>
    </xdr:to>
    <xdr:cxnSp macro="">
      <xdr:nvCxnSpPr>
        <xdr:cNvPr id="30" name="Rett linje 29"/>
        <xdr:cNvCxnSpPr>
          <a:stCxn id="26" idx="2"/>
        </xdr:cNvCxnSpPr>
      </xdr:nvCxnSpPr>
      <xdr:spPr bwMode="auto">
        <a:xfrm flipH="1">
          <a:off x="3270015" y="52349201"/>
          <a:ext cx="121504" cy="3917444"/>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4</xdr:col>
      <xdr:colOff>663371</xdr:colOff>
      <xdr:row>121</xdr:row>
      <xdr:rowOff>175720</xdr:rowOff>
    </xdr:from>
    <xdr:to>
      <xdr:col>13</xdr:col>
      <xdr:colOff>0</xdr:colOff>
      <xdr:row>130</xdr:row>
      <xdr:rowOff>160867</xdr:rowOff>
    </xdr:to>
    <xdr:cxnSp macro="">
      <xdr:nvCxnSpPr>
        <xdr:cNvPr id="33" name="Rett linje 32"/>
        <xdr:cNvCxnSpPr>
          <a:stCxn id="26" idx="2"/>
        </xdr:cNvCxnSpPr>
      </xdr:nvCxnSpPr>
      <xdr:spPr bwMode="auto">
        <a:xfrm>
          <a:off x="3406571" y="1064720"/>
          <a:ext cx="5661229" cy="1585347"/>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5</xdr:col>
      <xdr:colOff>530876</xdr:colOff>
      <xdr:row>120</xdr:row>
      <xdr:rowOff>50800</xdr:rowOff>
    </xdr:from>
    <xdr:to>
      <xdr:col>7</xdr:col>
      <xdr:colOff>313267</xdr:colOff>
      <xdr:row>122</xdr:row>
      <xdr:rowOff>6387</xdr:rowOff>
    </xdr:to>
    <xdr:sp macro="" textlink="">
      <xdr:nvSpPr>
        <xdr:cNvPr id="36" name="TekstSylinder 35"/>
        <xdr:cNvSpPr txBox="1"/>
      </xdr:nvSpPr>
      <xdr:spPr>
        <a:xfrm>
          <a:off x="3976809" y="812800"/>
          <a:ext cx="1187858" cy="311187"/>
        </a:xfrm>
        <a:prstGeom prst="rect">
          <a:avLst/>
        </a:prstGeom>
        <a:solidFill>
          <a:srgbClr val="FF0000"/>
        </a:solidFill>
        <a:ln w="9525" cmpd="sng">
          <a:solidFill>
            <a:schemeClr val="lt1">
              <a:shade val="50000"/>
            </a:schemeClr>
          </a:solidFill>
        </a:ln>
        <a:effectLst>
          <a:outerShdw blurRad="50800" dist="762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900">
              <a:solidFill>
                <a:schemeClr val="bg1"/>
              </a:solidFill>
            </a:rPr>
            <a:t>Visnings-/utdatafelt</a:t>
          </a:r>
        </a:p>
      </xdr:txBody>
    </xdr:sp>
    <xdr:clientData/>
  </xdr:twoCellAnchor>
  <xdr:twoCellAnchor>
    <xdr:from>
      <xdr:col>6</xdr:col>
      <xdr:colOff>160866</xdr:colOff>
      <xdr:row>121</xdr:row>
      <xdr:rowOff>71049</xdr:rowOff>
    </xdr:from>
    <xdr:to>
      <xdr:col>6</xdr:col>
      <xdr:colOff>444055</xdr:colOff>
      <xdr:row>143</xdr:row>
      <xdr:rowOff>152400</xdr:rowOff>
    </xdr:to>
    <xdr:cxnSp macro="">
      <xdr:nvCxnSpPr>
        <xdr:cNvPr id="37" name="Rett linje 36"/>
        <xdr:cNvCxnSpPr/>
      </xdr:nvCxnSpPr>
      <xdr:spPr bwMode="auto">
        <a:xfrm flipH="1">
          <a:off x="4308349" y="66270909"/>
          <a:ext cx="283189" cy="3989043"/>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451704</xdr:colOff>
      <xdr:row>122</xdr:row>
      <xdr:rowOff>23320</xdr:rowOff>
    </xdr:from>
    <xdr:to>
      <xdr:col>7</xdr:col>
      <xdr:colOff>127000</xdr:colOff>
      <xdr:row>130</xdr:row>
      <xdr:rowOff>25400</xdr:rowOff>
    </xdr:to>
    <xdr:cxnSp macro="">
      <xdr:nvCxnSpPr>
        <xdr:cNvPr id="39" name="Rett linje 38"/>
        <xdr:cNvCxnSpPr/>
      </xdr:nvCxnSpPr>
      <xdr:spPr bwMode="auto">
        <a:xfrm>
          <a:off x="4600371" y="1140920"/>
          <a:ext cx="378029" cy="142448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471609</xdr:colOff>
      <xdr:row>120</xdr:row>
      <xdr:rowOff>50800</xdr:rowOff>
    </xdr:from>
    <xdr:to>
      <xdr:col>8</xdr:col>
      <xdr:colOff>389467</xdr:colOff>
      <xdr:row>122</xdr:row>
      <xdr:rowOff>6387</xdr:rowOff>
    </xdr:to>
    <xdr:sp macro="" textlink="">
      <xdr:nvSpPr>
        <xdr:cNvPr id="41" name="TekstSylinder 40"/>
        <xdr:cNvSpPr txBox="1"/>
      </xdr:nvSpPr>
      <xdr:spPr>
        <a:xfrm>
          <a:off x="5323009" y="812800"/>
          <a:ext cx="620591" cy="311187"/>
        </a:xfrm>
        <a:prstGeom prst="rect">
          <a:avLst/>
        </a:prstGeom>
        <a:solidFill>
          <a:srgbClr val="FF0000"/>
        </a:solidFill>
        <a:ln w="9525" cmpd="sng">
          <a:solidFill>
            <a:schemeClr val="lt1">
              <a:shade val="50000"/>
            </a:schemeClr>
          </a:solidFill>
        </a:ln>
        <a:effectLst>
          <a:outerShdw blurRad="50800" dist="762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nb-NO" sz="900">
              <a:solidFill>
                <a:schemeClr val="bg1"/>
              </a:solidFill>
            </a:rPr>
            <a:t>Verktøy</a:t>
          </a:r>
        </a:p>
      </xdr:txBody>
    </xdr:sp>
    <xdr:clientData/>
  </xdr:twoCellAnchor>
  <xdr:twoCellAnchor>
    <xdr:from>
      <xdr:col>8</xdr:col>
      <xdr:colOff>70704</xdr:colOff>
      <xdr:row>121</xdr:row>
      <xdr:rowOff>167254</xdr:rowOff>
    </xdr:from>
    <xdr:to>
      <xdr:col>9</xdr:col>
      <xdr:colOff>152400</xdr:colOff>
      <xdr:row>142</xdr:row>
      <xdr:rowOff>127000</xdr:rowOff>
    </xdr:to>
    <xdr:cxnSp macro="">
      <xdr:nvCxnSpPr>
        <xdr:cNvPr id="42" name="Rett linje 41"/>
        <xdr:cNvCxnSpPr/>
      </xdr:nvCxnSpPr>
      <xdr:spPr bwMode="auto">
        <a:xfrm>
          <a:off x="5624837" y="1107054"/>
          <a:ext cx="784430" cy="3693546"/>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editAs="oneCell">
    <xdr:from>
      <xdr:col>0</xdr:col>
      <xdr:colOff>0</xdr:colOff>
      <xdr:row>156</xdr:row>
      <xdr:rowOff>77268</xdr:rowOff>
    </xdr:from>
    <xdr:to>
      <xdr:col>14</xdr:col>
      <xdr:colOff>298050</xdr:colOff>
      <xdr:row>169</xdr:row>
      <xdr:rowOff>207818</xdr:rowOff>
    </xdr:to>
    <xdr:pic>
      <xdr:nvPicPr>
        <xdr:cNvPr id="6" name="Bilde 5"/>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2665" b="-1069"/>
        <a:stretch/>
      </xdr:blipFill>
      <xdr:spPr>
        <a:xfrm>
          <a:off x="0" y="30776632"/>
          <a:ext cx="10088595" cy="2428096"/>
        </a:xfrm>
        <a:prstGeom prst="rect">
          <a:avLst/>
        </a:prstGeom>
      </xdr:spPr>
    </xdr:pic>
    <xdr:clientData/>
  </xdr:twoCellAnchor>
  <xdr:twoCellAnchor editAs="oneCell">
    <xdr:from>
      <xdr:col>0</xdr:col>
      <xdr:colOff>28390</xdr:colOff>
      <xdr:row>175</xdr:row>
      <xdr:rowOff>51829</xdr:rowOff>
    </xdr:from>
    <xdr:to>
      <xdr:col>7</xdr:col>
      <xdr:colOff>627865</xdr:colOff>
      <xdr:row>195</xdr:row>
      <xdr:rowOff>133928</xdr:rowOff>
    </xdr:to>
    <xdr:pic>
      <xdr:nvPicPr>
        <xdr:cNvPr id="14" name="Bilde 13"/>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8390" y="76865425"/>
          <a:ext cx="5429756" cy="3614874"/>
        </a:xfrm>
        <a:prstGeom prst="rect">
          <a:avLst/>
        </a:prstGeom>
      </xdr:spPr>
    </xdr:pic>
    <xdr:clientData/>
  </xdr:twoCellAnchor>
  <xdr:twoCellAnchor>
    <xdr:from>
      <xdr:col>1</xdr:col>
      <xdr:colOff>28223</xdr:colOff>
      <xdr:row>155</xdr:row>
      <xdr:rowOff>131703</xdr:rowOff>
    </xdr:from>
    <xdr:to>
      <xdr:col>3</xdr:col>
      <xdr:colOff>28222</xdr:colOff>
      <xdr:row>159</xdr:row>
      <xdr:rowOff>84667</xdr:rowOff>
    </xdr:to>
    <xdr:cxnSp macro="">
      <xdr:nvCxnSpPr>
        <xdr:cNvPr id="29" name="Rett linje 28"/>
        <xdr:cNvCxnSpPr/>
      </xdr:nvCxnSpPr>
      <xdr:spPr bwMode="auto">
        <a:xfrm flipH="1">
          <a:off x="667927" y="58382370"/>
          <a:ext cx="1392295" cy="696149"/>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editAs="oneCell">
    <xdr:from>
      <xdr:col>11</xdr:col>
      <xdr:colOff>667928</xdr:colOff>
      <xdr:row>7</xdr:row>
      <xdr:rowOff>103484</xdr:rowOff>
    </xdr:from>
    <xdr:to>
      <xdr:col>14</xdr:col>
      <xdr:colOff>206963</xdr:colOff>
      <xdr:row>18</xdr:row>
      <xdr:rowOff>51152</xdr:rowOff>
    </xdr:to>
    <xdr:pic>
      <xdr:nvPicPr>
        <xdr:cNvPr id="20" name="Bilde 19"/>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269113" y="1100669"/>
          <a:ext cx="1627480" cy="2017298"/>
        </a:xfrm>
        <a:prstGeom prst="rect">
          <a:avLst/>
        </a:prstGeom>
      </xdr:spPr>
    </xdr:pic>
    <xdr:clientData/>
  </xdr:twoCellAnchor>
  <xdr:twoCellAnchor>
    <xdr:from>
      <xdr:col>10</xdr:col>
      <xdr:colOff>417686</xdr:colOff>
      <xdr:row>3</xdr:row>
      <xdr:rowOff>127000</xdr:rowOff>
    </xdr:from>
    <xdr:to>
      <xdr:col>14</xdr:col>
      <xdr:colOff>872065</xdr:colOff>
      <xdr:row>18</xdr:row>
      <xdr:rowOff>18815</xdr:rowOff>
    </xdr:to>
    <xdr:sp macro="" textlink="">
      <xdr:nvSpPr>
        <xdr:cNvPr id="23" name="Rektangel 22"/>
        <xdr:cNvSpPr/>
      </xdr:nvSpPr>
      <xdr:spPr bwMode="auto">
        <a:xfrm>
          <a:off x="7322723" y="371593"/>
          <a:ext cx="3238972" cy="2714037"/>
        </a:xfrm>
        <a:prstGeom prst="rect">
          <a:avLst/>
        </a:prstGeom>
        <a:noFill/>
        <a:ln w="15875" cap="flat" cmpd="sng" algn="ctr">
          <a:solidFill>
            <a:srgbClr val="C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editAs="oneCell">
    <xdr:from>
      <xdr:col>0</xdr:col>
      <xdr:colOff>47037</xdr:colOff>
      <xdr:row>7</xdr:row>
      <xdr:rowOff>94074</xdr:rowOff>
    </xdr:from>
    <xdr:to>
      <xdr:col>6</xdr:col>
      <xdr:colOff>169334</xdr:colOff>
      <xdr:row>19</xdr:row>
      <xdr:rowOff>131704</xdr:rowOff>
    </xdr:to>
    <xdr:pic>
      <xdr:nvPicPr>
        <xdr:cNvPr id="24" name="Bilde 23"/>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8889"/>
        <a:stretch/>
      </xdr:blipFill>
      <xdr:spPr>
        <a:xfrm>
          <a:off x="47037" y="1091259"/>
          <a:ext cx="4242741" cy="2295408"/>
        </a:xfrm>
        <a:prstGeom prst="rect">
          <a:avLst/>
        </a:prstGeom>
        <a:ln w="12700">
          <a:solidFill>
            <a:schemeClr val="tx1"/>
          </a:solidFill>
        </a:ln>
      </xdr:spPr>
    </xdr:pic>
    <xdr:clientData/>
  </xdr:twoCellAnchor>
  <xdr:twoCellAnchor>
    <xdr:from>
      <xdr:col>6</xdr:col>
      <xdr:colOff>216371</xdr:colOff>
      <xdr:row>8</xdr:row>
      <xdr:rowOff>56443</xdr:rowOff>
    </xdr:from>
    <xdr:to>
      <xdr:col>6</xdr:col>
      <xdr:colOff>612371</xdr:colOff>
      <xdr:row>8</xdr:row>
      <xdr:rowOff>56443</xdr:rowOff>
    </xdr:to>
    <xdr:cxnSp macro="">
      <xdr:nvCxnSpPr>
        <xdr:cNvPr id="38" name="Rett linje 37"/>
        <xdr:cNvCxnSpPr/>
      </xdr:nvCxnSpPr>
      <xdr:spPr bwMode="auto">
        <a:xfrm flipH="1">
          <a:off x="4336815" y="1241776"/>
          <a:ext cx="396000" cy="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227661</xdr:colOff>
      <xdr:row>10</xdr:row>
      <xdr:rowOff>95954</xdr:rowOff>
    </xdr:from>
    <xdr:to>
      <xdr:col>6</xdr:col>
      <xdr:colOff>623661</xdr:colOff>
      <xdr:row>10</xdr:row>
      <xdr:rowOff>95954</xdr:rowOff>
    </xdr:to>
    <xdr:cxnSp macro="">
      <xdr:nvCxnSpPr>
        <xdr:cNvPr id="43" name="Rett linje 42"/>
        <xdr:cNvCxnSpPr/>
      </xdr:nvCxnSpPr>
      <xdr:spPr bwMode="auto">
        <a:xfrm flipH="1">
          <a:off x="4348105" y="1657584"/>
          <a:ext cx="396000" cy="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9</xdr:col>
      <xdr:colOff>254000</xdr:colOff>
      <xdr:row>10</xdr:row>
      <xdr:rowOff>131703</xdr:rowOff>
    </xdr:from>
    <xdr:to>
      <xdr:col>12</xdr:col>
      <xdr:colOff>338667</xdr:colOff>
      <xdr:row>11</xdr:row>
      <xdr:rowOff>18815</xdr:rowOff>
    </xdr:to>
    <xdr:cxnSp macro="">
      <xdr:nvCxnSpPr>
        <xdr:cNvPr id="45" name="Rett linje 44"/>
        <xdr:cNvCxnSpPr/>
      </xdr:nvCxnSpPr>
      <xdr:spPr bwMode="auto">
        <a:xfrm>
          <a:off x="6462889" y="1693333"/>
          <a:ext cx="2173111" cy="7526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216372</xdr:colOff>
      <xdr:row>11</xdr:row>
      <xdr:rowOff>103480</xdr:rowOff>
    </xdr:from>
    <xdr:to>
      <xdr:col>6</xdr:col>
      <xdr:colOff>612372</xdr:colOff>
      <xdr:row>11</xdr:row>
      <xdr:rowOff>103480</xdr:rowOff>
    </xdr:to>
    <xdr:cxnSp macro="">
      <xdr:nvCxnSpPr>
        <xdr:cNvPr id="46" name="Rett linje 45"/>
        <xdr:cNvCxnSpPr/>
      </xdr:nvCxnSpPr>
      <xdr:spPr bwMode="auto">
        <a:xfrm flipH="1">
          <a:off x="4336816" y="1853258"/>
          <a:ext cx="396000" cy="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225779</xdr:colOff>
      <xdr:row>12</xdr:row>
      <xdr:rowOff>84666</xdr:rowOff>
    </xdr:from>
    <xdr:to>
      <xdr:col>6</xdr:col>
      <xdr:colOff>621779</xdr:colOff>
      <xdr:row>12</xdr:row>
      <xdr:rowOff>84666</xdr:rowOff>
    </xdr:to>
    <xdr:cxnSp macro="">
      <xdr:nvCxnSpPr>
        <xdr:cNvPr id="47" name="Rett linje 46"/>
        <xdr:cNvCxnSpPr/>
      </xdr:nvCxnSpPr>
      <xdr:spPr bwMode="auto">
        <a:xfrm flipH="1">
          <a:off x="4346223" y="2022592"/>
          <a:ext cx="396000" cy="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225778</xdr:colOff>
      <xdr:row>13</xdr:row>
      <xdr:rowOff>94073</xdr:rowOff>
    </xdr:from>
    <xdr:to>
      <xdr:col>6</xdr:col>
      <xdr:colOff>621778</xdr:colOff>
      <xdr:row>13</xdr:row>
      <xdr:rowOff>94073</xdr:rowOff>
    </xdr:to>
    <xdr:cxnSp macro="">
      <xdr:nvCxnSpPr>
        <xdr:cNvPr id="48" name="Rett linje 47"/>
        <xdr:cNvCxnSpPr/>
      </xdr:nvCxnSpPr>
      <xdr:spPr bwMode="auto">
        <a:xfrm flipH="1">
          <a:off x="4346222" y="2220147"/>
          <a:ext cx="396000" cy="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9</xdr:col>
      <xdr:colOff>310444</xdr:colOff>
      <xdr:row>11</xdr:row>
      <xdr:rowOff>112889</xdr:rowOff>
    </xdr:from>
    <xdr:to>
      <xdr:col>12</xdr:col>
      <xdr:colOff>235186</xdr:colOff>
      <xdr:row>17</xdr:row>
      <xdr:rowOff>75259</xdr:rowOff>
    </xdr:to>
    <xdr:cxnSp macro="">
      <xdr:nvCxnSpPr>
        <xdr:cNvPr id="51" name="Rett linje 50"/>
        <xdr:cNvCxnSpPr/>
      </xdr:nvCxnSpPr>
      <xdr:spPr bwMode="auto">
        <a:xfrm>
          <a:off x="6519333" y="1862667"/>
          <a:ext cx="2013186" cy="1091259"/>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12</xdr:col>
      <xdr:colOff>164284</xdr:colOff>
      <xdr:row>12</xdr:row>
      <xdr:rowOff>102701</xdr:rowOff>
    </xdr:from>
    <xdr:to>
      <xdr:col>12</xdr:col>
      <xdr:colOff>385704</xdr:colOff>
      <xdr:row>13</xdr:row>
      <xdr:rowOff>144109</xdr:rowOff>
    </xdr:to>
    <xdr:sp macro="" textlink="">
      <xdr:nvSpPr>
        <xdr:cNvPr id="54" name="Venstre klammeparentes 53"/>
        <xdr:cNvSpPr/>
      </xdr:nvSpPr>
      <xdr:spPr bwMode="auto">
        <a:xfrm>
          <a:off x="8546284" y="2596519"/>
          <a:ext cx="221420" cy="237681"/>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9</xdr:col>
      <xdr:colOff>348074</xdr:colOff>
      <xdr:row>12</xdr:row>
      <xdr:rowOff>94074</xdr:rowOff>
    </xdr:from>
    <xdr:to>
      <xdr:col>12</xdr:col>
      <xdr:colOff>122297</xdr:colOff>
      <xdr:row>13</xdr:row>
      <xdr:rowOff>94074</xdr:rowOff>
    </xdr:to>
    <xdr:cxnSp macro="">
      <xdr:nvCxnSpPr>
        <xdr:cNvPr id="55" name="Rett linje 54"/>
        <xdr:cNvCxnSpPr/>
      </xdr:nvCxnSpPr>
      <xdr:spPr bwMode="auto">
        <a:xfrm>
          <a:off x="6556963" y="2032000"/>
          <a:ext cx="1862667" cy="188148"/>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246475</xdr:colOff>
      <xdr:row>14</xdr:row>
      <xdr:rowOff>95953</xdr:rowOff>
    </xdr:from>
    <xdr:to>
      <xdr:col>6</xdr:col>
      <xdr:colOff>642475</xdr:colOff>
      <xdr:row>14</xdr:row>
      <xdr:rowOff>95953</xdr:rowOff>
    </xdr:to>
    <xdr:cxnSp macro="">
      <xdr:nvCxnSpPr>
        <xdr:cNvPr id="59" name="Rett linje 58"/>
        <xdr:cNvCxnSpPr/>
      </xdr:nvCxnSpPr>
      <xdr:spPr bwMode="auto">
        <a:xfrm flipH="1">
          <a:off x="4366919" y="2410175"/>
          <a:ext cx="396000" cy="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248356</xdr:colOff>
      <xdr:row>15</xdr:row>
      <xdr:rowOff>126059</xdr:rowOff>
    </xdr:from>
    <xdr:to>
      <xdr:col>6</xdr:col>
      <xdr:colOff>644356</xdr:colOff>
      <xdr:row>15</xdr:row>
      <xdr:rowOff>126059</xdr:rowOff>
    </xdr:to>
    <xdr:cxnSp macro="">
      <xdr:nvCxnSpPr>
        <xdr:cNvPr id="60" name="Rett linje 59"/>
        <xdr:cNvCxnSpPr/>
      </xdr:nvCxnSpPr>
      <xdr:spPr bwMode="auto">
        <a:xfrm flipH="1" flipV="1">
          <a:off x="4368800" y="2628429"/>
          <a:ext cx="396000" cy="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250237</xdr:colOff>
      <xdr:row>16</xdr:row>
      <xdr:rowOff>127940</xdr:rowOff>
    </xdr:from>
    <xdr:to>
      <xdr:col>6</xdr:col>
      <xdr:colOff>646237</xdr:colOff>
      <xdr:row>16</xdr:row>
      <xdr:rowOff>127940</xdr:rowOff>
    </xdr:to>
    <xdr:cxnSp macro="">
      <xdr:nvCxnSpPr>
        <xdr:cNvPr id="77" name="Rett linje 76"/>
        <xdr:cNvCxnSpPr/>
      </xdr:nvCxnSpPr>
      <xdr:spPr bwMode="auto">
        <a:xfrm flipH="1" flipV="1">
          <a:off x="4370681" y="2818459"/>
          <a:ext cx="396000" cy="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223897</xdr:colOff>
      <xdr:row>18</xdr:row>
      <xdr:rowOff>63969</xdr:rowOff>
    </xdr:from>
    <xdr:to>
      <xdr:col>6</xdr:col>
      <xdr:colOff>619897</xdr:colOff>
      <xdr:row>18</xdr:row>
      <xdr:rowOff>63969</xdr:rowOff>
    </xdr:to>
    <xdr:cxnSp macro="">
      <xdr:nvCxnSpPr>
        <xdr:cNvPr id="78" name="Rett linje 77"/>
        <xdr:cNvCxnSpPr/>
      </xdr:nvCxnSpPr>
      <xdr:spPr bwMode="auto">
        <a:xfrm flipH="1" flipV="1">
          <a:off x="4344341" y="3130784"/>
          <a:ext cx="396000" cy="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225777</xdr:colOff>
      <xdr:row>19</xdr:row>
      <xdr:rowOff>47036</xdr:rowOff>
    </xdr:from>
    <xdr:to>
      <xdr:col>6</xdr:col>
      <xdr:colOff>621777</xdr:colOff>
      <xdr:row>19</xdr:row>
      <xdr:rowOff>47036</xdr:rowOff>
    </xdr:to>
    <xdr:cxnSp macro="">
      <xdr:nvCxnSpPr>
        <xdr:cNvPr id="79" name="Rett linje 78"/>
        <xdr:cNvCxnSpPr/>
      </xdr:nvCxnSpPr>
      <xdr:spPr bwMode="auto">
        <a:xfrm flipH="1" flipV="1">
          <a:off x="4346221" y="3301999"/>
          <a:ext cx="396000" cy="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editAs="oneCell">
    <xdr:from>
      <xdr:col>11</xdr:col>
      <xdr:colOff>395112</xdr:colOff>
      <xdr:row>19</xdr:row>
      <xdr:rowOff>166107</xdr:rowOff>
    </xdr:from>
    <xdr:to>
      <xdr:col>14</xdr:col>
      <xdr:colOff>122296</xdr:colOff>
      <xdr:row>26</xdr:row>
      <xdr:rowOff>176113</xdr:rowOff>
    </xdr:to>
    <xdr:pic>
      <xdr:nvPicPr>
        <xdr:cNvPr id="80" name="Bilde 79"/>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b="29807"/>
        <a:stretch/>
      </xdr:blipFill>
      <xdr:spPr>
        <a:xfrm>
          <a:off x="7996297" y="3421070"/>
          <a:ext cx="1815629" cy="1327043"/>
        </a:xfrm>
        <a:prstGeom prst="rect">
          <a:avLst/>
        </a:prstGeom>
        <a:ln w="12700">
          <a:solidFill>
            <a:schemeClr val="tx1"/>
          </a:solidFill>
        </a:ln>
      </xdr:spPr>
    </xdr:pic>
    <xdr:clientData/>
  </xdr:twoCellAnchor>
  <xdr:twoCellAnchor>
    <xdr:from>
      <xdr:col>5</xdr:col>
      <xdr:colOff>122297</xdr:colOff>
      <xdr:row>17</xdr:row>
      <xdr:rowOff>131704</xdr:rowOff>
    </xdr:from>
    <xdr:to>
      <xdr:col>6</xdr:col>
      <xdr:colOff>620889</xdr:colOff>
      <xdr:row>21</xdr:row>
      <xdr:rowOff>28222</xdr:rowOff>
    </xdr:to>
    <xdr:cxnSp macro="">
      <xdr:nvCxnSpPr>
        <xdr:cNvPr id="81" name="Rett linje 80"/>
        <xdr:cNvCxnSpPr/>
      </xdr:nvCxnSpPr>
      <xdr:spPr bwMode="auto">
        <a:xfrm flipH="1" flipV="1">
          <a:off x="3546593" y="3010371"/>
          <a:ext cx="1194740" cy="64911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9</xdr:col>
      <xdr:colOff>263407</xdr:colOff>
      <xdr:row>22</xdr:row>
      <xdr:rowOff>37630</xdr:rowOff>
    </xdr:from>
    <xdr:to>
      <xdr:col>13</xdr:col>
      <xdr:colOff>18816</xdr:colOff>
      <xdr:row>22</xdr:row>
      <xdr:rowOff>103482</xdr:rowOff>
    </xdr:to>
    <xdr:cxnSp macro="">
      <xdr:nvCxnSpPr>
        <xdr:cNvPr id="84" name="Rett linje 83"/>
        <xdr:cNvCxnSpPr/>
      </xdr:nvCxnSpPr>
      <xdr:spPr bwMode="auto">
        <a:xfrm flipV="1">
          <a:off x="6472296" y="3857037"/>
          <a:ext cx="2540001" cy="65852"/>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editAs="oneCell">
    <xdr:from>
      <xdr:col>3</xdr:col>
      <xdr:colOff>169331</xdr:colOff>
      <xdr:row>21</xdr:row>
      <xdr:rowOff>18815</xdr:rowOff>
    </xdr:from>
    <xdr:to>
      <xdr:col>6</xdr:col>
      <xdr:colOff>248593</xdr:colOff>
      <xdr:row>31</xdr:row>
      <xdr:rowOff>180151</xdr:rowOff>
    </xdr:to>
    <xdr:pic>
      <xdr:nvPicPr>
        <xdr:cNvPr id="86" name="Bilde 85"/>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201331" y="3650074"/>
          <a:ext cx="2167706" cy="2042818"/>
        </a:xfrm>
        <a:prstGeom prst="rect">
          <a:avLst/>
        </a:prstGeom>
      </xdr:spPr>
    </xdr:pic>
    <xdr:clientData/>
  </xdr:twoCellAnchor>
  <xdr:twoCellAnchor>
    <xdr:from>
      <xdr:col>0</xdr:col>
      <xdr:colOff>28222</xdr:colOff>
      <xdr:row>20</xdr:row>
      <xdr:rowOff>178740</xdr:rowOff>
    </xdr:from>
    <xdr:to>
      <xdr:col>3</xdr:col>
      <xdr:colOff>28221</xdr:colOff>
      <xdr:row>32</xdr:row>
      <xdr:rowOff>65851</xdr:rowOff>
    </xdr:to>
    <xdr:sp macro="" textlink="">
      <xdr:nvSpPr>
        <xdr:cNvPr id="87" name="TekstSylinder 86"/>
        <xdr:cNvSpPr txBox="1"/>
      </xdr:nvSpPr>
      <xdr:spPr>
        <a:xfrm>
          <a:off x="28222" y="3621851"/>
          <a:ext cx="2031999" cy="2144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t>I denne oppgaven har vi ikke proporsjonale variable enhetskostnader. Klikk på knappen "variable kostnader i tabell" eller bruk piltaster/mus for bevege deg til høyre i modellen for å legge inn disse. Modellen gir deg mulighet til å legge inn variable totale kostnader (VTK), eller variable enhetskostnader (VEK). Her får vi oppgitt VEK. Skriv</a:t>
          </a:r>
          <a:r>
            <a:rPr lang="nb-NO" sz="1100" baseline="0"/>
            <a:t> inn tallene fra tabellen.</a:t>
          </a:r>
          <a:endParaRPr lang="nb-NO" sz="1100"/>
        </a:p>
      </xdr:txBody>
    </xdr:sp>
    <xdr:clientData/>
  </xdr:twoCellAnchor>
  <xdr:twoCellAnchor>
    <xdr:from>
      <xdr:col>1</xdr:col>
      <xdr:colOff>56444</xdr:colOff>
      <xdr:row>24</xdr:row>
      <xdr:rowOff>103481</xdr:rowOff>
    </xdr:from>
    <xdr:to>
      <xdr:col>5</xdr:col>
      <xdr:colOff>122297</xdr:colOff>
      <xdr:row>31</xdr:row>
      <xdr:rowOff>94076</xdr:rowOff>
    </xdr:to>
    <xdr:cxnSp macro="">
      <xdr:nvCxnSpPr>
        <xdr:cNvPr id="88" name="Rett linje 87"/>
        <xdr:cNvCxnSpPr/>
      </xdr:nvCxnSpPr>
      <xdr:spPr bwMode="auto">
        <a:xfrm flipV="1">
          <a:off x="696148" y="4299185"/>
          <a:ext cx="2850445" cy="1307632"/>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0</xdr:col>
      <xdr:colOff>0</xdr:colOff>
      <xdr:row>83</xdr:row>
      <xdr:rowOff>41862</xdr:rowOff>
    </xdr:from>
    <xdr:to>
      <xdr:col>14</xdr:col>
      <xdr:colOff>731896</xdr:colOff>
      <xdr:row>88</xdr:row>
      <xdr:rowOff>23091</xdr:rowOff>
    </xdr:to>
    <xdr:sp macro="" textlink="">
      <xdr:nvSpPr>
        <xdr:cNvPr id="90" name="TekstSylinder 89"/>
        <xdr:cNvSpPr txBox="1"/>
      </xdr:nvSpPr>
      <xdr:spPr>
        <a:xfrm>
          <a:off x="0" y="8470044"/>
          <a:ext cx="10522441" cy="962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t>I denne oppgaven begynner</a:t>
          </a:r>
          <a:r>
            <a:rPr lang="nb-NO" sz="1100" baseline="0"/>
            <a:t> mengden i tabellen på 200. Y-aksen i grafen vil da skjære X-aksen på 200. Dersom du ønsker at Y-aksen skal skjære X-aksen i 0 dvs at minste mengde skal være 0, kan du enkelt gjøre dette. Du registrerer 0 som minste mengde i inndatafeltet, regner deg "baklengs" til hva prisen vil være med minstre mengde (Formel: Pris ved minste mengde i tabellen + prisendring per intervall). Siden vi her har fast pris, blir regnestykket 15 000 + 0. Så må du huske at du da har lagt til ett ekstra intervall. Antall mengdeintervaller må derfor økes med en. NB! Husk å klikke  for å oppdatere mengedeintervallene i grafen. Til slutt må du huske å registere de variable enhetskostnadene rett i forhold til de nye mengdeintervallene. Tabell og ny graf vises nedenfor.</a:t>
          </a:r>
          <a:endParaRPr lang="nb-NO" sz="1100"/>
        </a:p>
      </xdr:txBody>
    </xdr:sp>
    <xdr:clientData/>
  </xdr:twoCellAnchor>
  <xdr:twoCellAnchor editAs="oneCell">
    <xdr:from>
      <xdr:col>7</xdr:col>
      <xdr:colOff>28221</xdr:colOff>
      <xdr:row>25</xdr:row>
      <xdr:rowOff>91699</xdr:rowOff>
    </xdr:from>
    <xdr:to>
      <xdr:col>11</xdr:col>
      <xdr:colOff>18814</xdr:colOff>
      <xdr:row>37</xdr:row>
      <xdr:rowOff>1209</xdr:rowOff>
    </xdr:to>
    <xdr:pic>
      <xdr:nvPicPr>
        <xdr:cNvPr id="94" name="Bilde 93"/>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844814" y="4475551"/>
          <a:ext cx="2775185" cy="2167288"/>
        </a:xfrm>
        <a:prstGeom prst="rect">
          <a:avLst/>
        </a:prstGeom>
        <a:ln w="15875">
          <a:solidFill>
            <a:schemeClr val="lt1">
              <a:shade val="50000"/>
            </a:schemeClr>
          </a:solidFill>
        </a:ln>
      </xdr:spPr>
    </xdr:pic>
    <xdr:clientData/>
  </xdr:twoCellAnchor>
  <xdr:twoCellAnchor editAs="oneCell">
    <xdr:from>
      <xdr:col>0</xdr:col>
      <xdr:colOff>0</xdr:colOff>
      <xdr:row>102</xdr:row>
      <xdr:rowOff>161592</xdr:rowOff>
    </xdr:from>
    <xdr:to>
      <xdr:col>3</xdr:col>
      <xdr:colOff>197556</xdr:colOff>
      <xdr:row>114</xdr:row>
      <xdr:rowOff>69146</xdr:rowOff>
    </xdr:to>
    <xdr:pic>
      <xdr:nvPicPr>
        <xdr:cNvPr id="97" name="Bilde 96"/>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10499392"/>
          <a:ext cx="2229556" cy="2193552"/>
        </a:xfrm>
        <a:prstGeom prst="rect">
          <a:avLst/>
        </a:prstGeom>
      </xdr:spPr>
    </xdr:pic>
    <xdr:clientData/>
  </xdr:twoCellAnchor>
  <xdr:twoCellAnchor editAs="oneCell">
    <xdr:from>
      <xdr:col>6</xdr:col>
      <xdr:colOff>65853</xdr:colOff>
      <xdr:row>90</xdr:row>
      <xdr:rowOff>65852</xdr:rowOff>
    </xdr:from>
    <xdr:to>
      <xdr:col>10</xdr:col>
      <xdr:colOff>141112</xdr:colOff>
      <xdr:row>102</xdr:row>
      <xdr:rowOff>142137</xdr:rowOff>
    </xdr:to>
    <xdr:pic>
      <xdr:nvPicPr>
        <xdr:cNvPr id="98" name="Bilde 97"/>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186297" y="8024519"/>
          <a:ext cx="2859852" cy="2287881"/>
        </a:xfrm>
        <a:prstGeom prst="rect">
          <a:avLst/>
        </a:prstGeom>
        <a:ln w="15875">
          <a:solidFill>
            <a:schemeClr val="tx1"/>
          </a:solidFill>
        </a:ln>
      </xdr:spPr>
    </xdr:pic>
    <xdr:clientData/>
  </xdr:twoCellAnchor>
  <xdr:twoCellAnchor editAs="oneCell">
    <xdr:from>
      <xdr:col>6</xdr:col>
      <xdr:colOff>37353</xdr:colOff>
      <xdr:row>104</xdr:row>
      <xdr:rowOff>97119</xdr:rowOff>
    </xdr:from>
    <xdr:to>
      <xdr:col>10</xdr:col>
      <xdr:colOff>172193</xdr:colOff>
      <xdr:row>116</xdr:row>
      <xdr:rowOff>120769</xdr:rowOff>
    </xdr:to>
    <xdr:pic>
      <xdr:nvPicPr>
        <xdr:cNvPr id="99" name="Bilde 98"/>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183529" y="11019119"/>
          <a:ext cx="2943782" cy="2354476"/>
        </a:xfrm>
        <a:prstGeom prst="rect">
          <a:avLst/>
        </a:prstGeom>
        <a:ln w="15875">
          <a:solidFill>
            <a:schemeClr val="lt1">
              <a:shade val="50000"/>
            </a:schemeClr>
          </a:solidFill>
        </a:ln>
      </xdr:spPr>
    </xdr:pic>
    <xdr:clientData/>
  </xdr:twoCellAnchor>
  <xdr:twoCellAnchor>
    <xdr:from>
      <xdr:col>8</xdr:col>
      <xdr:colOff>592669</xdr:colOff>
      <xdr:row>96</xdr:row>
      <xdr:rowOff>169334</xdr:rowOff>
    </xdr:from>
    <xdr:to>
      <xdr:col>8</xdr:col>
      <xdr:colOff>594894</xdr:colOff>
      <xdr:row>100</xdr:row>
      <xdr:rowOff>66842</xdr:rowOff>
    </xdr:to>
    <xdr:cxnSp macro="">
      <xdr:nvCxnSpPr>
        <xdr:cNvPr id="100" name="Rett linje 99"/>
        <xdr:cNvCxnSpPr/>
      </xdr:nvCxnSpPr>
      <xdr:spPr bwMode="auto">
        <a:xfrm>
          <a:off x="6140564" y="9520545"/>
          <a:ext cx="2225" cy="672876"/>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9</xdr:col>
      <xdr:colOff>434474</xdr:colOff>
      <xdr:row>96</xdr:row>
      <xdr:rowOff>186764</xdr:rowOff>
    </xdr:from>
    <xdr:to>
      <xdr:col>9</xdr:col>
      <xdr:colOff>435656</xdr:colOff>
      <xdr:row>100</xdr:row>
      <xdr:rowOff>86895</xdr:rowOff>
    </xdr:to>
    <xdr:cxnSp macro="">
      <xdr:nvCxnSpPr>
        <xdr:cNvPr id="106" name="Rett linje 105"/>
        <xdr:cNvCxnSpPr/>
      </xdr:nvCxnSpPr>
      <xdr:spPr bwMode="auto">
        <a:xfrm flipH="1">
          <a:off x="6684211" y="9537975"/>
          <a:ext cx="1182" cy="675499"/>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437595</xdr:colOff>
      <xdr:row>97</xdr:row>
      <xdr:rowOff>892</xdr:rowOff>
    </xdr:from>
    <xdr:to>
      <xdr:col>7</xdr:col>
      <xdr:colOff>439820</xdr:colOff>
      <xdr:row>100</xdr:row>
      <xdr:rowOff>92242</xdr:rowOff>
    </xdr:to>
    <xdr:cxnSp macro="">
      <xdr:nvCxnSpPr>
        <xdr:cNvPr id="111" name="Rett linje 110"/>
        <xdr:cNvCxnSpPr/>
      </xdr:nvCxnSpPr>
      <xdr:spPr bwMode="auto">
        <a:xfrm>
          <a:off x="5283648" y="9545945"/>
          <a:ext cx="2225" cy="672876"/>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8</xdr:col>
      <xdr:colOff>529390</xdr:colOff>
      <xdr:row>111</xdr:row>
      <xdr:rowOff>20053</xdr:rowOff>
    </xdr:from>
    <xdr:to>
      <xdr:col>8</xdr:col>
      <xdr:colOff>531615</xdr:colOff>
      <xdr:row>114</xdr:row>
      <xdr:rowOff>111403</xdr:rowOff>
    </xdr:to>
    <xdr:cxnSp macro="">
      <xdr:nvCxnSpPr>
        <xdr:cNvPr id="113" name="Rett linje 112"/>
        <xdr:cNvCxnSpPr/>
      </xdr:nvCxnSpPr>
      <xdr:spPr bwMode="auto">
        <a:xfrm>
          <a:off x="6077285" y="12278895"/>
          <a:ext cx="2225" cy="672876"/>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9</xdr:col>
      <xdr:colOff>451406</xdr:colOff>
      <xdr:row>111</xdr:row>
      <xdr:rowOff>17430</xdr:rowOff>
    </xdr:from>
    <xdr:to>
      <xdr:col>9</xdr:col>
      <xdr:colOff>452588</xdr:colOff>
      <xdr:row>114</xdr:row>
      <xdr:rowOff>111403</xdr:rowOff>
    </xdr:to>
    <xdr:cxnSp macro="">
      <xdr:nvCxnSpPr>
        <xdr:cNvPr id="114" name="Rett linje 113"/>
        <xdr:cNvCxnSpPr/>
      </xdr:nvCxnSpPr>
      <xdr:spPr bwMode="auto">
        <a:xfrm flipH="1">
          <a:off x="6701143" y="12276272"/>
          <a:ext cx="1182" cy="675499"/>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247316</xdr:colOff>
      <xdr:row>111</xdr:row>
      <xdr:rowOff>12032</xdr:rowOff>
    </xdr:from>
    <xdr:to>
      <xdr:col>7</xdr:col>
      <xdr:colOff>249541</xdr:colOff>
      <xdr:row>114</xdr:row>
      <xdr:rowOff>103382</xdr:rowOff>
    </xdr:to>
    <xdr:cxnSp macro="">
      <xdr:nvCxnSpPr>
        <xdr:cNvPr id="115" name="Rett linje 114"/>
        <xdr:cNvCxnSpPr/>
      </xdr:nvCxnSpPr>
      <xdr:spPr bwMode="auto">
        <a:xfrm>
          <a:off x="5093369" y="12270874"/>
          <a:ext cx="2225" cy="672876"/>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681787</xdr:colOff>
      <xdr:row>94</xdr:row>
      <xdr:rowOff>167104</xdr:rowOff>
    </xdr:from>
    <xdr:to>
      <xdr:col>8</xdr:col>
      <xdr:colOff>13368</xdr:colOff>
      <xdr:row>97</xdr:row>
      <xdr:rowOff>26735</xdr:rowOff>
    </xdr:to>
    <xdr:sp macro="" textlink="">
      <xdr:nvSpPr>
        <xdr:cNvPr id="116" name="TekstSylinder 115"/>
        <xdr:cNvSpPr txBox="1"/>
      </xdr:nvSpPr>
      <xdr:spPr>
        <a:xfrm>
          <a:off x="4825998" y="9130630"/>
          <a:ext cx="735265" cy="441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800" baseline="0"/>
            <a:t>Nedre dekningspunkt ved ca 520</a:t>
          </a:r>
          <a:endParaRPr lang="nb-NO" sz="800"/>
        </a:p>
      </xdr:txBody>
    </xdr:sp>
    <xdr:clientData/>
  </xdr:twoCellAnchor>
  <xdr:twoCellAnchor>
    <xdr:from>
      <xdr:col>9</xdr:col>
      <xdr:colOff>98924</xdr:colOff>
      <xdr:row>94</xdr:row>
      <xdr:rowOff>172451</xdr:rowOff>
    </xdr:from>
    <xdr:to>
      <xdr:col>10</xdr:col>
      <xdr:colOff>132347</xdr:colOff>
      <xdr:row>97</xdr:row>
      <xdr:rowOff>32082</xdr:rowOff>
    </xdr:to>
    <xdr:sp macro="" textlink="">
      <xdr:nvSpPr>
        <xdr:cNvPr id="117" name="TekstSylinder 116"/>
        <xdr:cNvSpPr txBox="1"/>
      </xdr:nvSpPr>
      <xdr:spPr>
        <a:xfrm>
          <a:off x="6348661" y="9135977"/>
          <a:ext cx="735265" cy="441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800" baseline="0"/>
            <a:t>Øvre dekningspunkt ved ca 1700</a:t>
          </a:r>
          <a:endParaRPr lang="nb-NO" sz="800"/>
        </a:p>
      </xdr:txBody>
    </xdr:sp>
    <xdr:clientData/>
  </xdr:twoCellAnchor>
  <xdr:twoCellAnchor>
    <xdr:from>
      <xdr:col>8</xdr:col>
      <xdr:colOff>298114</xdr:colOff>
      <xdr:row>94</xdr:row>
      <xdr:rowOff>164433</xdr:rowOff>
    </xdr:from>
    <xdr:to>
      <xdr:col>9</xdr:col>
      <xdr:colOff>180474</xdr:colOff>
      <xdr:row>97</xdr:row>
      <xdr:rowOff>24064</xdr:rowOff>
    </xdr:to>
    <xdr:sp macro="" textlink="">
      <xdr:nvSpPr>
        <xdr:cNvPr id="118" name="TekstSylinder 117"/>
        <xdr:cNvSpPr txBox="1"/>
      </xdr:nvSpPr>
      <xdr:spPr>
        <a:xfrm>
          <a:off x="5846009" y="9127959"/>
          <a:ext cx="584202" cy="441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800" baseline="0"/>
            <a:t>Vinnings-optimum </a:t>
          </a:r>
          <a:br>
            <a:rPr lang="nb-NO" sz="800" baseline="0"/>
          </a:br>
          <a:r>
            <a:rPr lang="nb-NO" sz="800" baseline="0"/>
            <a:t>ved ca 1250 </a:t>
          </a:r>
          <a:endParaRPr lang="nb-NO" sz="800"/>
        </a:p>
      </xdr:txBody>
    </xdr:sp>
    <xdr:clientData/>
  </xdr:twoCellAnchor>
  <xdr:twoCellAnchor>
    <xdr:from>
      <xdr:col>6</xdr:col>
      <xdr:colOff>581526</xdr:colOff>
      <xdr:row>108</xdr:row>
      <xdr:rowOff>169776</xdr:rowOff>
    </xdr:from>
    <xdr:to>
      <xdr:col>7</xdr:col>
      <xdr:colOff>614949</xdr:colOff>
      <xdr:row>111</xdr:row>
      <xdr:rowOff>29408</xdr:rowOff>
    </xdr:to>
    <xdr:sp macro="" textlink="">
      <xdr:nvSpPr>
        <xdr:cNvPr id="119" name="TekstSylinder 118"/>
        <xdr:cNvSpPr txBox="1"/>
      </xdr:nvSpPr>
      <xdr:spPr>
        <a:xfrm>
          <a:off x="4725737" y="11847092"/>
          <a:ext cx="735265" cy="441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800" baseline="0"/>
            <a:t>Nedre dekningspunkt ved ca 520</a:t>
          </a:r>
          <a:endParaRPr lang="nb-NO" sz="800"/>
        </a:p>
      </xdr:txBody>
    </xdr:sp>
    <xdr:clientData/>
  </xdr:twoCellAnchor>
  <xdr:twoCellAnchor>
    <xdr:from>
      <xdr:col>8</xdr:col>
      <xdr:colOff>700505</xdr:colOff>
      <xdr:row>108</xdr:row>
      <xdr:rowOff>175123</xdr:rowOff>
    </xdr:from>
    <xdr:to>
      <xdr:col>10</xdr:col>
      <xdr:colOff>32086</xdr:colOff>
      <xdr:row>111</xdr:row>
      <xdr:rowOff>34755</xdr:rowOff>
    </xdr:to>
    <xdr:sp macro="" textlink="">
      <xdr:nvSpPr>
        <xdr:cNvPr id="120" name="TekstSylinder 119"/>
        <xdr:cNvSpPr txBox="1"/>
      </xdr:nvSpPr>
      <xdr:spPr>
        <a:xfrm>
          <a:off x="6248400" y="11852439"/>
          <a:ext cx="735265" cy="441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800" baseline="0"/>
            <a:t>Øvre dekningspunkt ved ca 1700</a:t>
          </a:r>
          <a:endParaRPr lang="nb-NO" sz="800"/>
        </a:p>
      </xdr:txBody>
    </xdr:sp>
    <xdr:clientData/>
  </xdr:twoCellAnchor>
  <xdr:twoCellAnchor>
    <xdr:from>
      <xdr:col>8</xdr:col>
      <xdr:colOff>197853</xdr:colOff>
      <xdr:row>108</xdr:row>
      <xdr:rowOff>167105</xdr:rowOff>
    </xdr:from>
    <xdr:to>
      <xdr:col>9</xdr:col>
      <xdr:colOff>80213</xdr:colOff>
      <xdr:row>111</xdr:row>
      <xdr:rowOff>26737</xdr:rowOff>
    </xdr:to>
    <xdr:sp macro="" textlink="">
      <xdr:nvSpPr>
        <xdr:cNvPr id="121" name="TekstSylinder 120"/>
        <xdr:cNvSpPr txBox="1"/>
      </xdr:nvSpPr>
      <xdr:spPr>
        <a:xfrm>
          <a:off x="5745748" y="11844421"/>
          <a:ext cx="584202" cy="441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800" baseline="0"/>
            <a:t>Vinnings-optimum </a:t>
          </a:r>
          <a:br>
            <a:rPr lang="nb-NO" sz="800" baseline="0"/>
          </a:br>
          <a:r>
            <a:rPr lang="nb-NO" sz="800" baseline="0"/>
            <a:t>ved ca 1250 </a:t>
          </a:r>
          <a:endParaRPr lang="nb-NO" sz="800"/>
        </a:p>
      </xdr:txBody>
    </xdr:sp>
    <xdr:clientData/>
  </xdr:twoCellAnchor>
  <xdr:twoCellAnchor editAs="oneCell">
    <xdr:from>
      <xdr:col>0</xdr:col>
      <xdr:colOff>0</xdr:colOff>
      <xdr:row>90</xdr:row>
      <xdr:rowOff>101600</xdr:rowOff>
    </xdr:from>
    <xdr:to>
      <xdr:col>5</xdr:col>
      <xdr:colOff>153869</xdr:colOff>
      <xdr:row>98</xdr:row>
      <xdr:rowOff>12700</xdr:rowOff>
    </xdr:to>
    <xdr:pic>
      <xdr:nvPicPr>
        <xdr:cNvPr id="122" name="Bilde 121"/>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0" y="8153400"/>
          <a:ext cx="3582869" cy="1435100"/>
        </a:xfrm>
        <a:prstGeom prst="rect">
          <a:avLst/>
        </a:prstGeom>
      </xdr:spPr>
    </xdr:pic>
    <xdr:clientData/>
  </xdr:twoCellAnchor>
  <xdr:twoCellAnchor>
    <xdr:from>
      <xdr:col>10</xdr:col>
      <xdr:colOff>647700</xdr:colOff>
      <xdr:row>90</xdr:row>
      <xdr:rowOff>127000</xdr:rowOff>
    </xdr:from>
    <xdr:to>
      <xdr:col>14</xdr:col>
      <xdr:colOff>457200</xdr:colOff>
      <xdr:row>106</xdr:row>
      <xdr:rowOff>63500</xdr:rowOff>
    </xdr:to>
    <xdr:sp macro="" textlink="">
      <xdr:nvSpPr>
        <xdr:cNvPr id="123" name="TekstSylinder 122"/>
        <xdr:cNvSpPr txBox="1"/>
      </xdr:nvSpPr>
      <xdr:spPr>
        <a:xfrm>
          <a:off x="7569200" y="8178800"/>
          <a:ext cx="2603500" cy="298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b="0" i="0" u="none" strike="noStrike">
              <a:solidFill>
                <a:schemeClr val="dk1"/>
              </a:solidFill>
              <a:effectLst/>
              <a:latin typeface="+mn-lt"/>
              <a:ea typeface="+mn-ea"/>
              <a:cs typeface="+mn-cs"/>
            </a:rPr>
            <a:t>Dersom vi sammenligner diagrammene, ser vi at alle</a:t>
          </a:r>
          <a:r>
            <a:rPr lang="nb-NO"/>
            <a:t> skjæringspunktene er like, men vi ser et større område av X-aksen på det øverste diagrammet. Vi kan si at vi i det nederste</a:t>
          </a:r>
          <a:r>
            <a:rPr lang="nb-NO" baseline="0"/>
            <a:t> bildet "zoomer inn".</a:t>
          </a:r>
          <a:endParaRPr lang="nb-NO" sz="1100"/>
        </a:p>
      </xdr:txBody>
    </xdr:sp>
    <xdr:clientData/>
  </xdr:twoCellAnchor>
  <xdr:twoCellAnchor>
    <xdr:from>
      <xdr:col>8</xdr:col>
      <xdr:colOff>63500</xdr:colOff>
      <xdr:row>173</xdr:row>
      <xdr:rowOff>50800</xdr:rowOff>
    </xdr:from>
    <xdr:to>
      <xdr:col>14</xdr:col>
      <xdr:colOff>800100</xdr:colOff>
      <xdr:row>177</xdr:row>
      <xdr:rowOff>50800</xdr:rowOff>
    </xdr:to>
    <xdr:sp macro="" textlink="">
      <xdr:nvSpPr>
        <xdr:cNvPr id="124" name="TekstSylinder 123"/>
        <xdr:cNvSpPr txBox="1"/>
      </xdr:nvSpPr>
      <xdr:spPr>
        <a:xfrm>
          <a:off x="5588000" y="25044400"/>
          <a:ext cx="4927600" cy="635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000" b="0" i="0" u="none" strike="noStrike">
              <a:solidFill>
                <a:schemeClr val="dk1"/>
              </a:solidFill>
              <a:effectLst/>
              <a:latin typeface="+mn-lt"/>
              <a:ea typeface="+mn-ea"/>
              <a:cs typeface="+mn-cs"/>
            </a:rPr>
            <a:t>Differanseenhetskostnad og differanseenhetsinntekt beregnes og plottes derfor inn i grafen i intervallet mellom to mengder i tabellen, her mellom 200 og 600 (dvs på 400), 400 og 800 (dvs på 600), 600 og 1 000 (dvs på 800) osv. Nedenfor er et forsøk på å vise forskjellen.</a:t>
          </a:r>
          <a:endParaRPr lang="nb-NO" sz="1000"/>
        </a:p>
      </xdr:txBody>
    </xdr:sp>
    <xdr:clientData/>
  </xdr:twoCellAnchor>
  <mc:AlternateContent xmlns:mc="http://schemas.openxmlformats.org/markup-compatibility/2006">
    <mc:Choice xmlns:a14="http://schemas.microsoft.com/office/drawing/2010/main" Requires="a14">
      <xdr:twoCellAnchor>
        <xdr:from>
          <xdr:col>15</xdr:col>
          <xdr:colOff>495300</xdr:colOff>
          <xdr:row>0</xdr:row>
          <xdr:rowOff>123825</xdr:rowOff>
        </xdr:from>
        <xdr:to>
          <xdr:col>16</xdr:col>
          <xdr:colOff>542925</xdr:colOff>
          <xdr:row>1</xdr:row>
          <xdr:rowOff>200025</xdr:rowOff>
        </xdr:to>
        <xdr:sp macro="" textlink="">
          <xdr:nvSpPr>
            <xdr:cNvPr id="5121" name="Button 1" hidden="1">
              <a:extLst>
                <a:ext uri="{63B3BB69-23CF-44E3-9099-C40C66FF867C}">
                  <a14:compatExt spid="_x0000_s5121"/>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Tilbake</a:t>
              </a:r>
            </a:p>
          </xdr:txBody>
        </xdr:sp>
        <xdr:clientData fPrintsWithSheet="0"/>
      </xdr:twoCellAnchor>
    </mc:Choice>
    <mc:Fallback/>
  </mc:AlternateContent>
  <xdr:twoCellAnchor editAs="oneCell">
    <xdr:from>
      <xdr:col>8</xdr:col>
      <xdr:colOff>84044</xdr:colOff>
      <xdr:row>176</xdr:row>
      <xdr:rowOff>112060</xdr:rowOff>
    </xdr:from>
    <xdr:to>
      <xdr:col>10</xdr:col>
      <xdr:colOff>524809</xdr:colOff>
      <xdr:row>186</xdr:row>
      <xdr:rowOff>169333</xdr:rowOff>
    </xdr:to>
    <xdr:pic>
      <xdr:nvPicPr>
        <xdr:cNvPr id="126" name="Bilde 125"/>
        <xdr:cNvPicPr>
          <a:picLocks noChangeAspect="1"/>
        </xdr:cNvPicPr>
      </xdr:nvPicPr>
      <xdr:blipFill rotWithShape="1">
        <a:blip xmlns:r="http://schemas.openxmlformats.org/officeDocument/2006/relationships" r:embed="rId13"/>
        <a:srcRect b="18070"/>
        <a:stretch/>
      </xdr:blipFill>
      <xdr:spPr>
        <a:xfrm>
          <a:off x="5638177" y="25901527"/>
          <a:ext cx="1846232" cy="1835273"/>
        </a:xfrm>
        <a:prstGeom prst="rect">
          <a:avLst/>
        </a:prstGeom>
      </xdr:spPr>
    </xdr:pic>
    <xdr:clientData/>
  </xdr:twoCellAnchor>
  <xdr:twoCellAnchor>
    <xdr:from>
      <xdr:col>10</xdr:col>
      <xdr:colOff>48432</xdr:colOff>
      <xdr:row>178</xdr:row>
      <xdr:rowOff>8713</xdr:rowOff>
    </xdr:from>
    <xdr:to>
      <xdr:col>10</xdr:col>
      <xdr:colOff>152400</xdr:colOff>
      <xdr:row>179</xdr:row>
      <xdr:rowOff>16933</xdr:rowOff>
    </xdr:to>
    <xdr:sp macro="" textlink="">
      <xdr:nvSpPr>
        <xdr:cNvPr id="128" name="Venstre klammeparentes 127"/>
        <xdr:cNvSpPr/>
      </xdr:nvSpPr>
      <xdr:spPr bwMode="auto">
        <a:xfrm rot="10800000">
          <a:off x="7008032" y="26153780"/>
          <a:ext cx="103968" cy="186020"/>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10</xdr:col>
      <xdr:colOff>48433</xdr:colOff>
      <xdr:row>179</xdr:row>
      <xdr:rowOff>25648</xdr:rowOff>
    </xdr:from>
    <xdr:to>
      <xdr:col>10</xdr:col>
      <xdr:colOff>152401</xdr:colOff>
      <xdr:row>180</xdr:row>
      <xdr:rowOff>33868</xdr:rowOff>
    </xdr:to>
    <xdr:sp macro="" textlink="">
      <xdr:nvSpPr>
        <xdr:cNvPr id="131" name="Venstre klammeparentes 130"/>
        <xdr:cNvSpPr/>
      </xdr:nvSpPr>
      <xdr:spPr bwMode="auto">
        <a:xfrm rot="10800000">
          <a:off x="7008033" y="26348515"/>
          <a:ext cx="103968" cy="186020"/>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10</xdr:col>
      <xdr:colOff>48432</xdr:colOff>
      <xdr:row>180</xdr:row>
      <xdr:rowOff>42580</xdr:rowOff>
    </xdr:from>
    <xdr:to>
      <xdr:col>10</xdr:col>
      <xdr:colOff>152400</xdr:colOff>
      <xdr:row>181</xdr:row>
      <xdr:rowOff>50800</xdr:rowOff>
    </xdr:to>
    <xdr:sp macro="" textlink="">
      <xdr:nvSpPr>
        <xdr:cNvPr id="132" name="Venstre klammeparentes 131"/>
        <xdr:cNvSpPr/>
      </xdr:nvSpPr>
      <xdr:spPr bwMode="auto">
        <a:xfrm rot="10800000">
          <a:off x="7008032" y="26543247"/>
          <a:ext cx="103968" cy="186020"/>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10</xdr:col>
      <xdr:colOff>48432</xdr:colOff>
      <xdr:row>181</xdr:row>
      <xdr:rowOff>51044</xdr:rowOff>
    </xdr:from>
    <xdr:to>
      <xdr:col>10</xdr:col>
      <xdr:colOff>152400</xdr:colOff>
      <xdr:row>182</xdr:row>
      <xdr:rowOff>59264</xdr:rowOff>
    </xdr:to>
    <xdr:sp macro="" textlink="">
      <xdr:nvSpPr>
        <xdr:cNvPr id="133" name="Venstre klammeparentes 132"/>
        <xdr:cNvSpPr/>
      </xdr:nvSpPr>
      <xdr:spPr bwMode="auto">
        <a:xfrm rot="10800000">
          <a:off x="7008032" y="26729511"/>
          <a:ext cx="103968" cy="186020"/>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10</xdr:col>
      <xdr:colOff>56896</xdr:colOff>
      <xdr:row>182</xdr:row>
      <xdr:rowOff>59510</xdr:rowOff>
    </xdr:from>
    <xdr:to>
      <xdr:col>10</xdr:col>
      <xdr:colOff>160864</xdr:colOff>
      <xdr:row>183</xdr:row>
      <xdr:rowOff>67730</xdr:rowOff>
    </xdr:to>
    <xdr:sp macro="" textlink="">
      <xdr:nvSpPr>
        <xdr:cNvPr id="134" name="Venstre klammeparentes 133"/>
        <xdr:cNvSpPr/>
      </xdr:nvSpPr>
      <xdr:spPr bwMode="auto">
        <a:xfrm rot="10800000">
          <a:off x="7016496" y="26915777"/>
          <a:ext cx="103968" cy="186020"/>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10</xdr:col>
      <xdr:colOff>56899</xdr:colOff>
      <xdr:row>183</xdr:row>
      <xdr:rowOff>76444</xdr:rowOff>
    </xdr:from>
    <xdr:to>
      <xdr:col>10</xdr:col>
      <xdr:colOff>160867</xdr:colOff>
      <xdr:row>184</xdr:row>
      <xdr:rowOff>84664</xdr:rowOff>
    </xdr:to>
    <xdr:sp macro="" textlink="">
      <xdr:nvSpPr>
        <xdr:cNvPr id="135" name="Venstre klammeparentes 134"/>
        <xdr:cNvSpPr/>
      </xdr:nvSpPr>
      <xdr:spPr bwMode="auto">
        <a:xfrm rot="10800000">
          <a:off x="7016499" y="27110511"/>
          <a:ext cx="103968" cy="186020"/>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10</xdr:col>
      <xdr:colOff>48432</xdr:colOff>
      <xdr:row>184</xdr:row>
      <xdr:rowOff>76439</xdr:rowOff>
    </xdr:from>
    <xdr:to>
      <xdr:col>10</xdr:col>
      <xdr:colOff>152400</xdr:colOff>
      <xdr:row>185</xdr:row>
      <xdr:rowOff>84659</xdr:rowOff>
    </xdr:to>
    <xdr:sp macro="" textlink="">
      <xdr:nvSpPr>
        <xdr:cNvPr id="136" name="Venstre klammeparentes 135"/>
        <xdr:cNvSpPr/>
      </xdr:nvSpPr>
      <xdr:spPr bwMode="auto">
        <a:xfrm rot="10800000">
          <a:off x="7008032" y="27288306"/>
          <a:ext cx="103968" cy="186020"/>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10</xdr:col>
      <xdr:colOff>56895</xdr:colOff>
      <xdr:row>185</xdr:row>
      <xdr:rowOff>93380</xdr:rowOff>
    </xdr:from>
    <xdr:to>
      <xdr:col>10</xdr:col>
      <xdr:colOff>160863</xdr:colOff>
      <xdr:row>186</xdr:row>
      <xdr:rowOff>101600</xdr:rowOff>
    </xdr:to>
    <xdr:sp macro="" textlink="">
      <xdr:nvSpPr>
        <xdr:cNvPr id="137" name="Venstre klammeparentes 136"/>
        <xdr:cNvSpPr/>
      </xdr:nvSpPr>
      <xdr:spPr bwMode="auto">
        <a:xfrm rot="10800000">
          <a:off x="7016495" y="27483047"/>
          <a:ext cx="103968" cy="186020"/>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9</xdr:col>
      <xdr:colOff>310892</xdr:colOff>
      <xdr:row>189</xdr:row>
      <xdr:rowOff>118775</xdr:rowOff>
    </xdr:from>
    <xdr:to>
      <xdr:col>9</xdr:col>
      <xdr:colOff>414863</xdr:colOff>
      <xdr:row>191</xdr:row>
      <xdr:rowOff>59264</xdr:rowOff>
    </xdr:to>
    <xdr:sp macro="" textlink="">
      <xdr:nvSpPr>
        <xdr:cNvPr id="139" name="Venstre klammeparentes 138"/>
        <xdr:cNvSpPr/>
      </xdr:nvSpPr>
      <xdr:spPr bwMode="auto">
        <a:xfrm rot="10800000">
          <a:off x="6567759" y="28219642"/>
          <a:ext cx="103971" cy="296089"/>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9</xdr:col>
      <xdr:colOff>378623</xdr:colOff>
      <xdr:row>190</xdr:row>
      <xdr:rowOff>89645</xdr:rowOff>
    </xdr:from>
    <xdr:to>
      <xdr:col>9</xdr:col>
      <xdr:colOff>448236</xdr:colOff>
      <xdr:row>191</xdr:row>
      <xdr:rowOff>127000</xdr:rowOff>
    </xdr:to>
    <xdr:sp macro="" textlink="">
      <xdr:nvSpPr>
        <xdr:cNvPr id="141" name="Venstre klammeparentes 140"/>
        <xdr:cNvSpPr/>
      </xdr:nvSpPr>
      <xdr:spPr bwMode="auto">
        <a:xfrm rot="10800000">
          <a:off x="6631505" y="28395704"/>
          <a:ext cx="69613" cy="216649"/>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9</xdr:col>
      <xdr:colOff>423940</xdr:colOff>
      <xdr:row>191</xdr:row>
      <xdr:rowOff>29881</xdr:rowOff>
    </xdr:from>
    <xdr:to>
      <xdr:col>9</xdr:col>
      <xdr:colOff>507999</xdr:colOff>
      <xdr:row>192</xdr:row>
      <xdr:rowOff>89647</xdr:rowOff>
    </xdr:to>
    <xdr:sp macro="" textlink="">
      <xdr:nvSpPr>
        <xdr:cNvPr id="142" name="Venstre klammeparentes 141"/>
        <xdr:cNvSpPr/>
      </xdr:nvSpPr>
      <xdr:spPr bwMode="auto">
        <a:xfrm rot="10800000">
          <a:off x="6676822" y="28515234"/>
          <a:ext cx="84059" cy="239060"/>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9</xdr:col>
      <xdr:colOff>465771</xdr:colOff>
      <xdr:row>191</xdr:row>
      <xdr:rowOff>149410</xdr:rowOff>
    </xdr:from>
    <xdr:to>
      <xdr:col>9</xdr:col>
      <xdr:colOff>575230</xdr:colOff>
      <xdr:row>193</xdr:row>
      <xdr:rowOff>52784</xdr:rowOff>
    </xdr:to>
    <xdr:sp macro="" textlink="">
      <xdr:nvSpPr>
        <xdr:cNvPr id="143" name="Venstre klammeparentes 142"/>
        <xdr:cNvSpPr/>
      </xdr:nvSpPr>
      <xdr:spPr bwMode="auto">
        <a:xfrm rot="10800000">
          <a:off x="6718653" y="28634763"/>
          <a:ext cx="109459" cy="261962"/>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9</xdr:col>
      <xdr:colOff>515575</xdr:colOff>
      <xdr:row>192</xdr:row>
      <xdr:rowOff>94867</xdr:rowOff>
    </xdr:from>
    <xdr:to>
      <xdr:col>9</xdr:col>
      <xdr:colOff>634996</xdr:colOff>
      <xdr:row>193</xdr:row>
      <xdr:rowOff>156883</xdr:rowOff>
    </xdr:to>
    <xdr:sp macro="" textlink="">
      <xdr:nvSpPr>
        <xdr:cNvPr id="144" name="Venstre klammeparentes 143"/>
        <xdr:cNvSpPr/>
      </xdr:nvSpPr>
      <xdr:spPr bwMode="auto">
        <a:xfrm rot="10800000">
          <a:off x="6768457" y="28759514"/>
          <a:ext cx="119421" cy="241310"/>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9</xdr:col>
      <xdr:colOff>601626</xdr:colOff>
      <xdr:row>193</xdr:row>
      <xdr:rowOff>48308</xdr:rowOff>
    </xdr:from>
    <xdr:to>
      <xdr:col>9</xdr:col>
      <xdr:colOff>679820</xdr:colOff>
      <xdr:row>194</xdr:row>
      <xdr:rowOff>82174</xdr:rowOff>
    </xdr:to>
    <xdr:sp macro="" textlink="">
      <xdr:nvSpPr>
        <xdr:cNvPr id="145" name="Venstre klammeparentes 144"/>
        <xdr:cNvSpPr/>
      </xdr:nvSpPr>
      <xdr:spPr bwMode="auto">
        <a:xfrm rot="10800000">
          <a:off x="6854508" y="28892249"/>
          <a:ext cx="78194" cy="213160"/>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9</xdr:col>
      <xdr:colOff>635002</xdr:colOff>
      <xdr:row>193</xdr:row>
      <xdr:rowOff>155880</xdr:rowOff>
    </xdr:from>
    <xdr:to>
      <xdr:col>10</xdr:col>
      <xdr:colOff>37744</xdr:colOff>
      <xdr:row>195</xdr:row>
      <xdr:rowOff>52294</xdr:rowOff>
    </xdr:to>
    <xdr:sp macro="" textlink="">
      <xdr:nvSpPr>
        <xdr:cNvPr id="146" name="Venstre klammeparentes 145"/>
        <xdr:cNvSpPr/>
      </xdr:nvSpPr>
      <xdr:spPr bwMode="auto">
        <a:xfrm rot="10800000">
          <a:off x="6887884" y="28999821"/>
          <a:ext cx="104978" cy="255002"/>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10</xdr:col>
      <xdr:colOff>620058</xdr:colOff>
      <xdr:row>176</xdr:row>
      <xdr:rowOff>97117</xdr:rowOff>
    </xdr:from>
    <xdr:to>
      <xdr:col>14</xdr:col>
      <xdr:colOff>938389</xdr:colOff>
      <xdr:row>186</xdr:row>
      <xdr:rowOff>171824</xdr:rowOff>
    </xdr:to>
    <xdr:sp macro="" textlink="">
      <xdr:nvSpPr>
        <xdr:cNvPr id="85" name="TekstSylinder 84"/>
        <xdr:cNvSpPr txBox="1"/>
      </xdr:nvSpPr>
      <xdr:spPr>
        <a:xfrm>
          <a:off x="7541558" y="25461839"/>
          <a:ext cx="3112331" cy="1838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000" b="0" i="0" u="none" strike="noStrike">
              <a:solidFill>
                <a:schemeClr val="dk1"/>
              </a:solidFill>
              <a:effectLst/>
              <a:latin typeface="+mn-lt"/>
              <a:ea typeface="+mn-ea"/>
              <a:cs typeface="+mn-cs"/>
            </a:rPr>
            <a:t>Alle kurver blir riktige, men du mister "endepunktene"</a:t>
          </a:r>
          <a:r>
            <a:rPr lang="nb-NO" sz="1000" b="0" i="0" u="none" strike="noStrike" baseline="0">
              <a:solidFill>
                <a:schemeClr val="dk1"/>
              </a:solidFill>
              <a:effectLst/>
              <a:latin typeface="+mn-lt"/>
              <a:ea typeface="+mn-ea"/>
              <a:cs typeface="+mn-cs"/>
            </a:rPr>
            <a:t> på DEK og DEI. I de "gamle modellene" ble disse punktene interpolert av Excel, men dette er ikke så vidt jeg har funnet ut ikke mulig i den nye versjonen.</a:t>
          </a:r>
        </a:p>
        <a:p>
          <a:endParaRPr lang="nb-NO" sz="1000" b="0" i="0" u="none" strike="noStrike" baseline="0">
            <a:solidFill>
              <a:schemeClr val="dk1"/>
            </a:solidFill>
            <a:effectLst/>
            <a:latin typeface="+mn-lt"/>
            <a:ea typeface="+mn-ea"/>
            <a:cs typeface="+mn-cs"/>
          </a:endParaRPr>
        </a:p>
        <a:p>
          <a:r>
            <a:rPr lang="nb-NO" sz="1000" b="0" i="0" u="none" strike="noStrike" baseline="0">
              <a:solidFill>
                <a:schemeClr val="dk1"/>
              </a:solidFill>
              <a:effectLst/>
              <a:latin typeface="+mn-lt"/>
              <a:ea typeface="+mn-ea"/>
              <a:cs typeface="+mn-cs"/>
            </a:rPr>
            <a:t>Merk at dersom du bruker en nettbasert Excel eller Excel for Ipad/Iphone, så støtter ikke disse makroer dvs at knappene ikke virker. Navigering må skje ved å klikke på arkfanene nederst. For denne modellen betyr det at en må lagre en modell for hvert tabellalternativ (6 linjer, 7 linjer osv) på en maskin med "lokal" Excel for så å legge disse i skyen.</a:t>
          </a:r>
          <a:endParaRPr lang="nb-NO" sz="1000"/>
        </a:p>
      </xdr:txBody>
    </xdr:sp>
    <xdr:clientData/>
  </xdr:twoCellAnchor>
  <xdr:twoCellAnchor>
    <xdr:from>
      <xdr:col>12</xdr:col>
      <xdr:colOff>412750</xdr:colOff>
      <xdr:row>189</xdr:row>
      <xdr:rowOff>87312</xdr:rowOff>
    </xdr:from>
    <xdr:to>
      <xdr:col>12</xdr:col>
      <xdr:colOff>516721</xdr:colOff>
      <xdr:row>191</xdr:row>
      <xdr:rowOff>31869</xdr:rowOff>
    </xdr:to>
    <xdr:sp macro="" textlink="">
      <xdr:nvSpPr>
        <xdr:cNvPr id="89" name="Venstre klammeparentes 88"/>
        <xdr:cNvSpPr/>
      </xdr:nvSpPr>
      <xdr:spPr bwMode="auto">
        <a:xfrm rot="10800000">
          <a:off x="8731250" y="27622500"/>
          <a:ext cx="103971" cy="293807"/>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12</xdr:col>
      <xdr:colOff>480481</xdr:colOff>
      <xdr:row>190</xdr:row>
      <xdr:rowOff>62250</xdr:rowOff>
    </xdr:from>
    <xdr:to>
      <xdr:col>12</xdr:col>
      <xdr:colOff>550094</xdr:colOff>
      <xdr:row>191</xdr:row>
      <xdr:rowOff>95536</xdr:rowOff>
    </xdr:to>
    <xdr:sp macro="" textlink="">
      <xdr:nvSpPr>
        <xdr:cNvPr id="91" name="Venstre klammeparentes 90"/>
        <xdr:cNvSpPr/>
      </xdr:nvSpPr>
      <xdr:spPr bwMode="auto">
        <a:xfrm rot="10800000">
          <a:off x="8798981" y="27772063"/>
          <a:ext cx="69613" cy="207911"/>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12</xdr:col>
      <xdr:colOff>525798</xdr:colOff>
      <xdr:row>191</xdr:row>
      <xdr:rowOff>2486</xdr:rowOff>
    </xdr:from>
    <xdr:to>
      <xdr:col>12</xdr:col>
      <xdr:colOff>609857</xdr:colOff>
      <xdr:row>192</xdr:row>
      <xdr:rowOff>62252</xdr:rowOff>
    </xdr:to>
    <xdr:sp macro="" textlink="">
      <xdr:nvSpPr>
        <xdr:cNvPr id="92" name="Venstre klammeparentes 91"/>
        <xdr:cNvSpPr/>
      </xdr:nvSpPr>
      <xdr:spPr bwMode="auto">
        <a:xfrm rot="10800000">
          <a:off x="8844298" y="27886924"/>
          <a:ext cx="84059" cy="234391"/>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12</xdr:col>
      <xdr:colOff>567629</xdr:colOff>
      <xdr:row>191</xdr:row>
      <xdr:rowOff>117946</xdr:rowOff>
    </xdr:from>
    <xdr:to>
      <xdr:col>12</xdr:col>
      <xdr:colOff>677088</xdr:colOff>
      <xdr:row>193</xdr:row>
      <xdr:rowOff>25389</xdr:rowOff>
    </xdr:to>
    <xdr:sp macro="" textlink="">
      <xdr:nvSpPr>
        <xdr:cNvPr id="93" name="Venstre klammeparentes 92"/>
        <xdr:cNvSpPr/>
      </xdr:nvSpPr>
      <xdr:spPr bwMode="auto">
        <a:xfrm rot="10800000">
          <a:off x="8886129" y="28002384"/>
          <a:ext cx="109459" cy="256693"/>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12</xdr:col>
      <xdr:colOff>617433</xdr:colOff>
      <xdr:row>192</xdr:row>
      <xdr:rowOff>67472</xdr:rowOff>
    </xdr:from>
    <xdr:to>
      <xdr:col>13</xdr:col>
      <xdr:colOff>38354</xdr:colOff>
      <xdr:row>193</xdr:row>
      <xdr:rowOff>125419</xdr:rowOff>
    </xdr:to>
    <xdr:sp macro="" textlink="">
      <xdr:nvSpPr>
        <xdr:cNvPr id="95" name="Venstre klammeparentes 94"/>
        <xdr:cNvSpPr/>
      </xdr:nvSpPr>
      <xdr:spPr bwMode="auto">
        <a:xfrm rot="10800000">
          <a:off x="8935933" y="28126535"/>
          <a:ext cx="119421" cy="232572"/>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13</xdr:col>
      <xdr:colOff>4984</xdr:colOff>
      <xdr:row>193</xdr:row>
      <xdr:rowOff>20913</xdr:rowOff>
    </xdr:from>
    <xdr:to>
      <xdr:col>13</xdr:col>
      <xdr:colOff>83178</xdr:colOff>
      <xdr:row>194</xdr:row>
      <xdr:rowOff>54779</xdr:rowOff>
    </xdr:to>
    <xdr:sp macro="" textlink="">
      <xdr:nvSpPr>
        <xdr:cNvPr id="96" name="Venstre klammeparentes 95"/>
        <xdr:cNvSpPr/>
      </xdr:nvSpPr>
      <xdr:spPr bwMode="auto">
        <a:xfrm rot="10800000">
          <a:off x="9021984" y="28254601"/>
          <a:ext cx="78194" cy="208491"/>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13</xdr:col>
      <xdr:colOff>38360</xdr:colOff>
      <xdr:row>193</xdr:row>
      <xdr:rowOff>124416</xdr:rowOff>
    </xdr:from>
    <xdr:to>
      <xdr:col>13</xdr:col>
      <xdr:colOff>136730</xdr:colOff>
      <xdr:row>195</xdr:row>
      <xdr:rowOff>24899</xdr:rowOff>
    </xdr:to>
    <xdr:sp macro="" textlink="">
      <xdr:nvSpPr>
        <xdr:cNvPr id="101" name="Venstre klammeparentes 100"/>
        <xdr:cNvSpPr/>
      </xdr:nvSpPr>
      <xdr:spPr bwMode="auto">
        <a:xfrm rot="10800000">
          <a:off x="9055360" y="28358104"/>
          <a:ext cx="98370" cy="249733"/>
        </a:xfrm>
        <a:prstGeom prst="leftBrace">
          <a:avLst/>
        </a:prstGeom>
        <a:noFill/>
        <a:ln w="9525" cap="flat" cmpd="sng" algn="ctr">
          <a:solidFill>
            <a:srgbClr val="FF0000"/>
          </a:solidFill>
          <a:prstDash val="solid"/>
          <a:round/>
          <a:headEnd type="none" w="med" len="med"/>
          <a:tailEnd type="none" w="med" len="med"/>
        </a:ln>
        <a:effectLst/>
      </xdr:spPr>
      <xdr:txBody>
        <a:bodyPr wrap="square"/>
        <a:lstStyle/>
        <a:p>
          <a:endParaRPr lang="nb-NO"/>
        </a:p>
      </xdr:txBody>
    </xdr:sp>
    <xdr:clientData/>
  </xdr:twoCellAnchor>
  <xdr:twoCellAnchor>
    <xdr:from>
      <xdr:col>10</xdr:col>
      <xdr:colOff>462846</xdr:colOff>
      <xdr:row>4</xdr:row>
      <xdr:rowOff>15054</xdr:rowOff>
    </xdr:from>
    <xdr:to>
      <xdr:col>14</xdr:col>
      <xdr:colOff>801513</xdr:colOff>
      <xdr:row>7</xdr:row>
      <xdr:rowOff>56446</xdr:rowOff>
    </xdr:to>
    <xdr:sp macro="" textlink="">
      <xdr:nvSpPr>
        <xdr:cNvPr id="21" name="TekstSylinder 20"/>
        <xdr:cNvSpPr txBox="1"/>
      </xdr:nvSpPr>
      <xdr:spPr>
        <a:xfrm>
          <a:off x="7367883" y="447795"/>
          <a:ext cx="3123260" cy="6058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Pris på produktet: 15 000, driftsuavhengige faste kostnader per år: 3 000 000. Sammenheng mellom mengde og variable enhetskostnader:</a:t>
          </a:r>
        </a:p>
      </xdr:txBody>
    </xdr:sp>
    <xdr:clientData/>
  </xdr:twoCellAnchor>
  <xdr:twoCellAnchor editAs="oneCell">
    <xdr:from>
      <xdr:col>0</xdr:col>
      <xdr:colOff>57727</xdr:colOff>
      <xdr:row>47</xdr:row>
      <xdr:rowOff>46182</xdr:rowOff>
    </xdr:from>
    <xdr:to>
      <xdr:col>6</xdr:col>
      <xdr:colOff>28863</xdr:colOff>
      <xdr:row>48</xdr:row>
      <xdr:rowOff>159327</xdr:rowOff>
    </xdr:to>
    <xdr:pic>
      <xdr:nvPicPr>
        <xdr:cNvPr id="226" name="Bilde 225"/>
        <xdr:cNvPicPr>
          <a:picLocks noChangeAspect="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t="12987"/>
        <a:stretch/>
      </xdr:blipFill>
      <xdr:spPr>
        <a:xfrm>
          <a:off x="57727" y="9253682"/>
          <a:ext cx="4098636" cy="303645"/>
        </a:xfrm>
        <a:prstGeom prst="rect">
          <a:avLst/>
        </a:prstGeom>
        <a:ln w="19050">
          <a:solidFill>
            <a:schemeClr val="tx1"/>
          </a:solidFill>
        </a:ln>
      </xdr:spPr>
    </xdr:pic>
    <xdr:clientData/>
  </xdr:twoCellAnchor>
  <xdr:twoCellAnchor editAs="oneCell">
    <xdr:from>
      <xdr:col>7</xdr:col>
      <xdr:colOff>184728</xdr:colOff>
      <xdr:row>46</xdr:row>
      <xdr:rowOff>150091</xdr:rowOff>
    </xdr:from>
    <xdr:to>
      <xdr:col>11</xdr:col>
      <xdr:colOff>484909</xdr:colOff>
      <xdr:row>59</xdr:row>
      <xdr:rowOff>46930</xdr:rowOff>
    </xdr:to>
    <xdr:pic>
      <xdr:nvPicPr>
        <xdr:cNvPr id="227" name="Bilde 226"/>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5010728" y="9167091"/>
          <a:ext cx="3094181" cy="2373339"/>
        </a:xfrm>
        <a:prstGeom prst="rect">
          <a:avLst/>
        </a:prstGeom>
        <a:ln w="19050">
          <a:solidFill>
            <a:schemeClr val="tx1"/>
          </a:solidFill>
        </a:ln>
      </xdr:spPr>
    </xdr:pic>
    <xdr:clientData/>
  </xdr:twoCellAnchor>
  <xdr:twoCellAnchor>
    <xdr:from>
      <xdr:col>6</xdr:col>
      <xdr:colOff>28863</xdr:colOff>
      <xdr:row>48</xdr:row>
      <xdr:rowOff>4619</xdr:rowOff>
    </xdr:from>
    <xdr:to>
      <xdr:col>8</xdr:col>
      <xdr:colOff>161636</xdr:colOff>
      <xdr:row>53</xdr:row>
      <xdr:rowOff>46182</xdr:rowOff>
    </xdr:to>
    <xdr:cxnSp macro="">
      <xdr:nvCxnSpPr>
        <xdr:cNvPr id="228" name="Rett linje 227"/>
        <xdr:cNvCxnSpPr>
          <a:stCxn id="226" idx="3"/>
        </xdr:cNvCxnSpPr>
      </xdr:nvCxnSpPr>
      <xdr:spPr bwMode="auto">
        <a:xfrm>
          <a:off x="4156363" y="9402619"/>
          <a:ext cx="1529773" cy="994063"/>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editAs="oneCell">
    <xdr:from>
      <xdr:col>0</xdr:col>
      <xdr:colOff>138544</xdr:colOff>
      <xdr:row>69</xdr:row>
      <xdr:rowOff>31899</xdr:rowOff>
    </xdr:from>
    <xdr:to>
      <xdr:col>3</xdr:col>
      <xdr:colOff>565728</xdr:colOff>
      <xdr:row>78</xdr:row>
      <xdr:rowOff>150740</xdr:rowOff>
    </xdr:to>
    <xdr:pic>
      <xdr:nvPicPr>
        <xdr:cNvPr id="229" name="Bilde 228"/>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38544" y="13851808"/>
          <a:ext cx="2470729" cy="1885296"/>
        </a:xfrm>
        <a:prstGeom prst="rect">
          <a:avLst/>
        </a:prstGeom>
        <a:ln w="19050">
          <a:solidFill>
            <a:schemeClr val="tx1"/>
          </a:solidFill>
        </a:ln>
      </xdr:spPr>
    </xdr:pic>
    <xdr:clientData/>
  </xdr:twoCellAnchor>
  <xdr:twoCellAnchor editAs="oneCell">
    <xdr:from>
      <xdr:col>0</xdr:col>
      <xdr:colOff>1</xdr:colOff>
      <xdr:row>64</xdr:row>
      <xdr:rowOff>0</xdr:rowOff>
    </xdr:from>
    <xdr:to>
      <xdr:col>5</xdr:col>
      <xdr:colOff>11546</xdr:colOff>
      <xdr:row>66</xdr:row>
      <xdr:rowOff>181185</xdr:rowOff>
    </xdr:to>
    <xdr:pic>
      <xdr:nvPicPr>
        <xdr:cNvPr id="230" name="Bilde 229"/>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 y="12838545"/>
          <a:ext cx="3463636" cy="573731"/>
        </a:xfrm>
        <a:prstGeom prst="rect">
          <a:avLst/>
        </a:prstGeom>
      </xdr:spPr>
    </xdr:pic>
    <xdr:clientData/>
  </xdr:twoCellAnchor>
  <xdr:twoCellAnchor editAs="oneCell">
    <xdr:from>
      <xdr:col>6</xdr:col>
      <xdr:colOff>507999</xdr:colOff>
      <xdr:row>75</xdr:row>
      <xdr:rowOff>31641</xdr:rowOff>
    </xdr:from>
    <xdr:to>
      <xdr:col>13</xdr:col>
      <xdr:colOff>380999</xdr:colOff>
      <xdr:row>79</xdr:row>
      <xdr:rowOff>25400</xdr:rowOff>
    </xdr:to>
    <xdr:pic>
      <xdr:nvPicPr>
        <xdr:cNvPr id="3" name="Bilde 2"/>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4664363" y="15029186"/>
          <a:ext cx="4802909" cy="778850"/>
        </a:xfrm>
        <a:prstGeom prst="rect">
          <a:avLst/>
        </a:prstGeom>
      </xdr:spPr>
    </xdr:pic>
    <xdr:clientData/>
  </xdr:twoCellAnchor>
  <xdr:twoCellAnchor editAs="oneCell">
    <xdr:from>
      <xdr:col>7</xdr:col>
      <xdr:colOff>11545</xdr:colOff>
      <xdr:row>63</xdr:row>
      <xdr:rowOff>51472</xdr:rowOff>
    </xdr:from>
    <xdr:to>
      <xdr:col>10</xdr:col>
      <xdr:colOff>381000</xdr:colOff>
      <xdr:row>68</xdr:row>
      <xdr:rowOff>73891</xdr:rowOff>
    </xdr:to>
    <xdr:pic>
      <xdr:nvPicPr>
        <xdr:cNvPr id="4" name="Bilde 3"/>
        <xdr:cNvPicPr>
          <a:picLocks noChangeAspect="1"/>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l="21732"/>
        <a:stretch/>
      </xdr:blipFill>
      <xdr:spPr>
        <a:xfrm>
          <a:off x="4872181" y="12693745"/>
          <a:ext cx="2482274" cy="1003782"/>
        </a:xfrm>
        <a:prstGeom prst="rect">
          <a:avLst/>
        </a:prstGeom>
        <a:ln w="19050">
          <a:solidFill>
            <a:schemeClr val="tx1"/>
          </a:solidFill>
        </a:ln>
      </xdr:spPr>
    </xdr:pic>
    <xdr:clientData/>
  </xdr:twoCellAnchor>
  <xdr:twoCellAnchor editAs="oneCell">
    <xdr:from>
      <xdr:col>10</xdr:col>
      <xdr:colOff>542637</xdr:colOff>
      <xdr:row>63</xdr:row>
      <xdr:rowOff>11544</xdr:rowOff>
    </xdr:from>
    <xdr:to>
      <xdr:col>14</xdr:col>
      <xdr:colOff>748147</xdr:colOff>
      <xdr:row>74</xdr:row>
      <xdr:rowOff>113144</xdr:rowOff>
    </xdr:to>
    <xdr:pic>
      <xdr:nvPicPr>
        <xdr:cNvPr id="8" name="Bilde 7"/>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7516092" y="12653817"/>
          <a:ext cx="3022600" cy="2260600"/>
        </a:xfrm>
        <a:prstGeom prst="rect">
          <a:avLst/>
        </a:prstGeom>
        <a:ln w="19050">
          <a:solidFill>
            <a:schemeClr val="tx1"/>
          </a:solidFill>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8.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9.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1" enableFormatConditionsCalculation="0">
    <pageSetUpPr autoPageBreaks="0" fitToPage="1"/>
  </sheetPr>
  <dimension ref="A1:JK209"/>
  <sheetViews>
    <sheetView showGridLines="0" tabSelected="1" zoomScale="110" zoomScaleNormal="110" zoomScalePageLayoutView="110" workbookViewId="0">
      <selection activeCell="D3" sqref="D3:E3"/>
    </sheetView>
  </sheetViews>
  <sheetFormatPr baseColWidth="10" defaultColWidth="9.33203125" defaultRowHeight="12.75"/>
  <cols>
    <col min="1" max="1" width="11.83203125" style="1" customWidth="1"/>
    <col min="2" max="10" width="10.83203125" style="1" customWidth="1"/>
    <col min="11" max="11" width="9.83203125" style="1" customWidth="1"/>
    <col min="12" max="21" width="10.83203125" style="1" customWidth="1"/>
    <col min="22" max="28" width="9.33203125" style="1" hidden="1" customWidth="1"/>
    <col min="29" max="29" width="9.83203125" style="1" hidden="1" customWidth="1"/>
    <col min="30" max="45" width="10" style="1" hidden="1" customWidth="1"/>
    <col min="46" max="46" width="1" style="1" hidden="1" customWidth="1"/>
    <col min="47" max="65" width="11.6640625" style="1" hidden="1" customWidth="1"/>
    <col min="66" max="67" width="14.33203125" style="1" hidden="1" customWidth="1"/>
    <col min="68" max="271" width="9.33203125" style="1" hidden="1" customWidth="1"/>
    <col min="272" max="411" width="9.33203125" style="1" customWidth="1"/>
    <col min="412" max="16384" width="9.33203125" style="1"/>
  </cols>
  <sheetData>
    <row r="1" spans="1:24" ht="29.1" customHeight="1">
      <c r="A1" s="19"/>
      <c r="B1" s="19"/>
      <c r="C1" s="19"/>
      <c r="D1" s="19"/>
      <c r="E1" s="19"/>
      <c r="F1" s="19"/>
      <c r="G1" s="19"/>
      <c r="H1" s="164"/>
      <c r="I1" s="164"/>
      <c r="J1" s="164" t="s">
        <v>83</v>
      </c>
      <c r="K1" s="19"/>
      <c r="L1" s="19"/>
      <c r="M1" s="19"/>
      <c r="N1" s="19"/>
      <c r="O1" s="19"/>
      <c r="P1" s="19"/>
      <c r="Q1" s="19"/>
      <c r="R1" s="19"/>
      <c r="S1" s="19"/>
      <c r="T1" s="19"/>
      <c r="U1" s="19"/>
      <c r="V1" s="19"/>
      <c r="W1" s="19"/>
      <c r="X1" s="19"/>
    </row>
    <row r="2" spans="1:24" s="38" customFormat="1" ht="25.7" customHeight="1">
      <c r="A2" s="241" t="s">
        <v>0</v>
      </c>
      <c r="B2" s="241"/>
      <c r="C2" s="241"/>
      <c r="D2" s="241"/>
      <c r="E2" s="241"/>
      <c r="F2" s="241"/>
      <c r="G2" s="241"/>
      <c r="H2" s="241"/>
      <c r="I2" s="241"/>
      <c r="J2" s="241"/>
      <c r="K2" s="241"/>
      <c r="L2" s="241"/>
      <c r="M2" s="241"/>
      <c r="N2" s="241"/>
      <c r="O2" s="37"/>
      <c r="P2" s="37"/>
      <c r="Q2" s="37"/>
      <c r="R2" s="37"/>
      <c r="S2" s="37"/>
      <c r="T2" s="37"/>
      <c r="U2" s="37"/>
      <c r="V2" s="37"/>
    </row>
    <row r="3" spans="1:24" ht="12.75" customHeight="1">
      <c r="A3" s="200"/>
      <c r="B3" s="133"/>
      <c r="C3" s="134" t="s">
        <v>1</v>
      </c>
      <c r="D3" s="233"/>
      <c r="E3" s="234"/>
      <c r="F3" s="36"/>
      <c r="G3" s="23"/>
      <c r="H3" s="23"/>
      <c r="I3" s="23"/>
      <c r="J3" s="23"/>
      <c r="K3" s="23"/>
      <c r="L3" s="21"/>
      <c r="M3" s="21"/>
      <c r="N3" s="21"/>
      <c r="O3" s="22"/>
      <c r="P3" s="211" t="s">
        <v>99</v>
      </c>
      <c r="Q3" s="211"/>
      <c r="R3" s="211"/>
      <c r="S3" s="22"/>
      <c r="T3" s="21"/>
      <c r="U3" s="21"/>
      <c r="V3" s="21"/>
    </row>
    <row r="4" spans="1:24" ht="12.75" customHeight="1">
      <c r="A4" s="201"/>
      <c r="B4" s="34"/>
      <c r="C4" s="199"/>
      <c r="D4" s="35" t="s">
        <v>2</v>
      </c>
      <c r="E4" s="160" t="s">
        <v>75</v>
      </c>
      <c r="F4" s="20"/>
      <c r="G4" s="21"/>
      <c r="H4" s="21"/>
      <c r="I4" s="21"/>
      <c r="J4" s="21"/>
      <c r="K4" s="21"/>
      <c r="L4" s="37"/>
      <c r="M4" s="37"/>
      <c r="N4" s="37"/>
      <c r="O4" s="37"/>
      <c r="P4" s="212"/>
      <c r="Q4" s="213" t="s">
        <v>94</v>
      </c>
      <c r="R4" s="213" t="s">
        <v>95</v>
      </c>
      <c r="S4" s="21"/>
      <c r="T4" s="21"/>
      <c r="U4" s="21"/>
      <c r="V4" s="21"/>
    </row>
    <row r="5" spans="1:24" ht="12.75" customHeight="1">
      <c r="A5" s="201"/>
      <c r="B5" s="3"/>
      <c r="C5" s="3"/>
      <c r="D5" s="31" t="s">
        <v>3</v>
      </c>
      <c r="E5" s="40"/>
      <c r="F5" s="21"/>
      <c r="G5" s="21"/>
      <c r="H5" s="21"/>
      <c r="I5" s="21"/>
      <c r="J5" s="21"/>
      <c r="K5" s="21"/>
      <c r="L5" s="37"/>
      <c r="M5" s="37"/>
      <c r="N5" s="37"/>
      <c r="O5" s="37"/>
      <c r="P5" s="209" t="s">
        <v>6</v>
      </c>
      <c r="Q5" s="210" t="s">
        <v>97</v>
      </c>
      <c r="R5" s="210" t="s">
        <v>98</v>
      </c>
      <c r="S5" s="21"/>
      <c r="T5" s="21"/>
      <c r="U5" s="21"/>
      <c r="V5" s="21"/>
    </row>
    <row r="6" spans="1:24" ht="12.75" customHeight="1">
      <c r="A6" s="201"/>
      <c r="B6" s="3"/>
      <c r="C6" s="3"/>
      <c r="D6" s="31" t="s">
        <v>5</v>
      </c>
      <c r="E6" s="40"/>
      <c r="F6" s="21"/>
      <c r="G6" s="21"/>
      <c r="H6" s="21"/>
      <c r="I6" s="21"/>
      <c r="J6" s="21"/>
      <c r="K6" s="21"/>
      <c r="L6" s="37"/>
      <c r="M6" s="37"/>
      <c r="N6" s="37"/>
      <c r="O6" s="37"/>
      <c r="P6" s="203">
        <f>Startmengde</f>
        <v>0</v>
      </c>
      <c r="Q6" s="204"/>
      <c r="R6" s="205"/>
      <c r="S6" s="21"/>
      <c r="T6" s="21"/>
      <c r="U6" s="21"/>
      <c r="V6" s="21"/>
    </row>
    <row r="7" spans="1:24" ht="12.75" customHeight="1">
      <c r="A7" s="201"/>
      <c r="B7" s="3"/>
      <c r="C7" s="3"/>
      <c r="D7" s="31" t="s">
        <v>7</v>
      </c>
      <c r="E7" s="40"/>
      <c r="F7" s="21"/>
      <c r="G7" s="21"/>
      <c r="H7" s="21"/>
      <c r="I7" s="21"/>
      <c r="J7" s="21"/>
      <c r="K7" s="21"/>
      <c r="L7" s="37"/>
      <c r="M7" s="37"/>
      <c r="N7" s="37"/>
      <c r="O7" s="37"/>
      <c r="P7" s="203">
        <f t="shared" ref="P7:P16" si="0">+P6+Intervall</f>
        <v>0</v>
      </c>
      <c r="Q7" s="204"/>
      <c r="R7" s="205"/>
      <c r="S7" s="21"/>
      <c r="T7" s="21"/>
      <c r="U7" s="21"/>
      <c r="V7" s="21"/>
    </row>
    <row r="8" spans="1:24" ht="12.75" customHeight="1">
      <c r="A8" s="201"/>
      <c r="B8" s="3"/>
      <c r="C8" s="3"/>
      <c r="D8" s="31" t="s">
        <v>8</v>
      </c>
      <c r="E8" s="45"/>
      <c r="F8" s="21"/>
      <c r="G8" s="21"/>
      <c r="H8" s="21"/>
      <c r="I8" s="21"/>
      <c r="J8" s="21"/>
      <c r="K8" s="21"/>
      <c r="L8" s="37"/>
      <c r="M8" s="37"/>
      <c r="N8" s="37"/>
      <c r="O8" s="37"/>
      <c r="P8" s="203">
        <f t="shared" si="0"/>
        <v>0</v>
      </c>
      <c r="Q8" s="204"/>
      <c r="R8" s="205"/>
      <c r="S8" s="21"/>
      <c r="T8" s="21"/>
      <c r="U8" s="21"/>
      <c r="V8" s="21"/>
    </row>
    <row r="9" spans="1:24" ht="12.75" customHeight="1">
      <c r="A9" s="201"/>
      <c r="B9" s="3"/>
      <c r="C9" s="3"/>
      <c r="D9" s="31" t="s">
        <v>9</v>
      </c>
      <c r="E9" s="45"/>
      <c r="F9" s="21"/>
      <c r="G9" s="21"/>
      <c r="H9" s="21"/>
      <c r="I9" s="21"/>
      <c r="J9" s="21"/>
      <c r="K9" s="21"/>
      <c r="L9" s="37"/>
      <c r="M9" s="37"/>
      <c r="N9" s="37"/>
      <c r="O9" s="37"/>
      <c r="P9" s="203">
        <f t="shared" si="0"/>
        <v>0</v>
      </c>
      <c r="Q9" s="204"/>
      <c r="R9" s="205"/>
      <c r="S9" s="21"/>
      <c r="T9" s="21"/>
      <c r="U9" s="21"/>
      <c r="V9" s="21"/>
    </row>
    <row r="10" spans="1:24" ht="12.75" customHeight="1">
      <c r="A10" s="201"/>
      <c r="B10" s="3"/>
      <c r="C10" s="3"/>
      <c r="D10" s="31" t="s">
        <v>96</v>
      </c>
      <c r="E10" s="40"/>
      <c r="F10" s="21"/>
      <c r="G10" s="21"/>
      <c r="H10" s="21"/>
      <c r="I10" s="21"/>
      <c r="J10" s="21"/>
      <c r="K10" s="21"/>
      <c r="L10" s="37"/>
      <c r="M10" s="37"/>
      <c r="N10" s="37"/>
      <c r="O10" s="37"/>
      <c r="P10" s="203">
        <f t="shared" si="0"/>
        <v>0</v>
      </c>
      <c r="Q10" s="204"/>
      <c r="R10" s="205"/>
      <c r="S10" s="21"/>
      <c r="T10" s="21"/>
      <c r="U10" s="21"/>
      <c r="V10" s="21"/>
    </row>
    <row r="11" spans="1:24" ht="12.75" customHeight="1">
      <c r="A11" s="235" t="s">
        <v>100</v>
      </c>
      <c r="B11" s="236"/>
      <c r="C11" s="236"/>
      <c r="D11" s="236"/>
      <c r="E11" s="237"/>
      <c r="F11" s="21"/>
      <c r="G11" s="21"/>
      <c r="H11" s="21"/>
      <c r="I11" s="21"/>
      <c r="J11" s="21"/>
      <c r="K11" s="21"/>
      <c r="L11" s="37"/>
      <c r="M11" s="37"/>
      <c r="N11" s="37"/>
      <c r="O11" s="37"/>
      <c r="P11" s="203">
        <f t="shared" si="0"/>
        <v>0</v>
      </c>
      <c r="Q11" s="204"/>
      <c r="R11" s="205"/>
      <c r="S11" s="21"/>
      <c r="T11" s="21"/>
      <c r="U11" s="21"/>
      <c r="V11" s="21"/>
    </row>
    <row r="12" spans="1:24" ht="12.75" customHeight="1">
      <c r="A12" s="201"/>
      <c r="B12" s="3"/>
      <c r="C12" s="3"/>
      <c r="D12" s="33" t="s">
        <v>72</v>
      </c>
      <c r="E12" s="42"/>
      <c r="F12" s="21"/>
      <c r="G12" s="21"/>
      <c r="H12" s="21"/>
      <c r="I12" s="21"/>
      <c r="J12" s="21"/>
      <c r="K12" s="21"/>
      <c r="L12" s="37"/>
      <c r="M12" s="37"/>
      <c r="N12" s="37"/>
      <c r="O12" s="37"/>
      <c r="P12" s="203">
        <f t="shared" si="0"/>
        <v>0</v>
      </c>
      <c r="Q12" s="204"/>
      <c r="R12" s="205"/>
      <c r="S12" s="21"/>
      <c r="T12" s="21"/>
      <c r="U12" s="21"/>
      <c r="V12" s="21"/>
    </row>
    <row r="13" spans="1:24" ht="12.75" customHeight="1">
      <c r="A13" s="202"/>
      <c r="B13" s="4"/>
      <c r="C13" s="4"/>
      <c r="D13" s="32" t="s">
        <v>67</v>
      </c>
      <c r="E13" s="43"/>
      <c r="F13" s="21"/>
      <c r="G13" s="21"/>
      <c r="H13" s="21"/>
      <c r="I13" s="21"/>
      <c r="J13" s="21"/>
      <c r="K13" s="21"/>
      <c r="L13" s="37"/>
      <c r="M13" s="37"/>
      <c r="N13" s="37"/>
      <c r="O13" s="37"/>
      <c r="P13" s="203">
        <f t="shared" si="0"/>
        <v>0</v>
      </c>
      <c r="Q13" s="204"/>
      <c r="R13" s="205"/>
      <c r="S13" s="21"/>
      <c r="T13" s="21"/>
      <c r="U13" s="21"/>
      <c r="V13" s="21"/>
    </row>
    <row r="14" spans="1:24" ht="12.75" customHeight="1">
      <c r="A14" s="16"/>
      <c r="B14" s="33" t="s">
        <v>10</v>
      </c>
      <c r="C14" s="44" t="s">
        <v>76</v>
      </c>
      <c r="D14" s="33" t="s">
        <v>11</v>
      </c>
      <c r="E14" s="41"/>
      <c r="F14" s="21"/>
      <c r="G14" s="21"/>
      <c r="H14" s="21"/>
      <c r="I14" s="21"/>
      <c r="J14" s="21"/>
      <c r="K14" s="21"/>
      <c r="L14" s="37"/>
      <c r="M14" s="37"/>
      <c r="N14" s="37"/>
      <c r="O14" s="37"/>
      <c r="P14" s="203">
        <f t="shared" si="0"/>
        <v>0</v>
      </c>
      <c r="Q14" s="204"/>
      <c r="R14" s="205"/>
      <c r="S14" s="21"/>
      <c r="T14" s="21"/>
      <c r="U14" s="21"/>
      <c r="V14" s="21"/>
    </row>
    <row r="15" spans="1:24" ht="12.75" customHeight="1">
      <c r="A15" s="17"/>
      <c r="B15" s="4"/>
      <c r="C15" s="18"/>
      <c r="D15" s="32" t="str">
        <f>"Solgt mengde "&amp;IF(C14=0,"",C14)</f>
        <v>Solgt mengde utlandet</v>
      </c>
      <c r="E15" s="43"/>
      <c r="F15" s="21"/>
      <c r="G15" s="21"/>
      <c r="H15" s="21"/>
      <c r="I15" s="21"/>
      <c r="J15" s="21"/>
      <c r="K15" s="21"/>
      <c r="L15" s="37"/>
      <c r="M15" s="37"/>
      <c r="N15" s="37"/>
      <c r="O15" s="37"/>
      <c r="P15" s="203">
        <f t="shared" si="0"/>
        <v>0</v>
      </c>
      <c r="Q15" s="204"/>
      <c r="R15" s="205"/>
      <c r="S15" s="21"/>
      <c r="T15" s="21"/>
      <c r="U15" s="21"/>
      <c r="V15" s="21"/>
    </row>
    <row r="16" spans="1:24" ht="12.75" customHeight="1">
      <c r="A16" s="238" t="s">
        <v>66</v>
      </c>
      <c r="B16" s="239"/>
      <c r="C16" s="239"/>
      <c r="D16" s="239"/>
      <c r="E16" s="240"/>
      <c r="F16" s="22"/>
      <c r="G16" s="21"/>
      <c r="H16" s="21"/>
      <c r="I16" s="21"/>
      <c r="J16" s="21"/>
      <c r="K16" s="21"/>
      <c r="L16" s="37"/>
      <c r="M16" s="37"/>
      <c r="N16" s="37"/>
      <c r="O16" s="37"/>
      <c r="P16" s="206">
        <f t="shared" si="0"/>
        <v>0</v>
      </c>
      <c r="Q16" s="207"/>
      <c r="R16" s="208"/>
      <c r="S16" s="21"/>
      <c r="T16" s="21"/>
      <c r="U16" s="21"/>
      <c r="V16" s="21"/>
    </row>
    <row r="17" spans="1:22" ht="12.75" customHeight="1">
      <c r="A17" s="135"/>
      <c r="B17" s="22"/>
      <c r="C17" s="22"/>
      <c r="D17" s="66" t="s">
        <v>38</v>
      </c>
      <c r="E17" s="136"/>
      <c r="F17" s="22"/>
      <c r="G17" s="21"/>
      <c r="H17" s="21"/>
      <c r="I17" s="21"/>
      <c r="J17" s="21"/>
      <c r="K17" s="21"/>
      <c r="L17" s="37"/>
      <c r="M17" s="37"/>
      <c r="N17" s="37"/>
      <c r="O17" s="37"/>
      <c r="P17" s="21"/>
      <c r="Q17" s="21"/>
      <c r="R17" s="21"/>
      <c r="S17" s="21"/>
      <c r="T17" s="21"/>
      <c r="U17" s="21"/>
      <c r="V17" s="21"/>
    </row>
    <row r="18" spans="1:22" ht="12.75" customHeight="1">
      <c r="A18" s="135"/>
      <c r="B18" s="22"/>
      <c r="C18" s="22"/>
      <c r="D18" s="66" t="s">
        <v>39</v>
      </c>
      <c r="E18" s="136"/>
      <c r="F18" s="21"/>
      <c r="G18" s="21"/>
      <c r="H18" s="21"/>
      <c r="I18" s="21"/>
      <c r="J18" s="21"/>
      <c r="K18" s="21"/>
      <c r="L18" s="37"/>
      <c r="M18" s="37"/>
      <c r="N18" s="37"/>
      <c r="O18" s="37"/>
      <c r="P18" s="21"/>
      <c r="Q18" s="21"/>
      <c r="R18" s="21"/>
      <c r="S18" s="21"/>
      <c r="T18" s="21"/>
      <c r="U18" s="21"/>
      <c r="V18" s="21"/>
    </row>
    <row r="19" spans="1:22" ht="12.75" customHeight="1">
      <c r="A19" s="137"/>
      <c r="B19" s="138"/>
      <c r="C19" s="138"/>
      <c r="D19" s="139" t="s">
        <v>40</v>
      </c>
      <c r="E19" s="140"/>
      <c r="F19" s="21"/>
      <c r="G19" s="21"/>
      <c r="H19" s="21"/>
      <c r="I19" s="21"/>
      <c r="J19" s="21"/>
      <c r="K19" s="21"/>
      <c r="L19" s="37"/>
      <c r="M19" s="37"/>
      <c r="N19" s="37"/>
      <c r="O19" s="37"/>
      <c r="P19" s="22"/>
      <c r="Q19" s="22"/>
      <c r="R19" s="22"/>
      <c r="S19" s="22"/>
      <c r="T19" s="21"/>
      <c r="U19" s="21"/>
      <c r="V19" s="21"/>
    </row>
    <row r="20" spans="1:22" ht="12.75" customHeight="1">
      <c r="A20" s="21"/>
      <c r="B20" s="21"/>
      <c r="C20" s="21"/>
      <c r="D20" s="21"/>
      <c r="E20" s="24"/>
      <c r="F20" s="21"/>
      <c r="G20" s="21"/>
      <c r="H20" s="21"/>
      <c r="I20" s="21"/>
      <c r="J20" s="21"/>
      <c r="K20" s="21"/>
      <c r="L20" s="37"/>
      <c r="M20" s="37"/>
      <c r="N20" s="37"/>
      <c r="O20" s="37"/>
      <c r="P20" s="22"/>
      <c r="Q20" s="22"/>
      <c r="R20" s="22"/>
      <c r="S20" s="22"/>
      <c r="T20" s="21"/>
      <c r="U20" s="21"/>
      <c r="V20" s="21"/>
    </row>
    <row r="21" spans="1:22" ht="12.75" customHeight="1">
      <c r="A21" s="21"/>
      <c r="B21" s="21"/>
      <c r="C21" s="21"/>
      <c r="D21" s="21"/>
      <c r="E21" s="21"/>
      <c r="F21" s="21"/>
      <c r="G21" s="21"/>
      <c r="H21" s="21"/>
      <c r="I21" s="21"/>
      <c r="J21" s="21"/>
      <c r="K21" s="21"/>
      <c r="L21" s="37"/>
      <c r="M21" s="37"/>
      <c r="N21" s="37"/>
      <c r="O21" s="37"/>
      <c r="P21" s="22"/>
      <c r="Q21" s="22"/>
      <c r="R21" s="22"/>
      <c r="S21" s="22"/>
      <c r="T21" s="21"/>
      <c r="U21" s="21"/>
      <c r="V21" s="21"/>
    </row>
    <row r="22" spans="1:22">
      <c r="A22" s="21"/>
      <c r="B22" s="21"/>
      <c r="C22" s="21"/>
      <c r="D22" s="21"/>
      <c r="E22" s="21"/>
      <c r="F22" s="21"/>
      <c r="G22" s="21"/>
      <c r="H22" s="21"/>
      <c r="I22" s="21"/>
      <c r="J22" s="21"/>
      <c r="K22" s="21"/>
      <c r="L22" s="37"/>
      <c r="M22" s="37"/>
      <c r="N22" s="37"/>
      <c r="O22" s="37"/>
      <c r="P22" s="22"/>
      <c r="Q22" s="22"/>
      <c r="R22" s="22"/>
      <c r="S22" s="22"/>
      <c r="T22" s="21"/>
      <c r="U22" s="21"/>
      <c r="V22" s="21"/>
    </row>
    <row r="23" spans="1:22">
      <c r="A23" s="161"/>
      <c r="B23" s="162"/>
      <c r="C23" s="162"/>
      <c r="D23" s="162"/>
      <c r="E23" s="163"/>
      <c r="F23" s="153"/>
      <c r="G23" s="153"/>
      <c r="H23" s="153"/>
      <c r="I23" s="153"/>
      <c r="J23" s="153"/>
      <c r="K23" s="21"/>
      <c r="L23" s="37"/>
      <c r="M23" s="37"/>
      <c r="N23" s="37"/>
      <c r="O23" s="37"/>
      <c r="P23" s="22"/>
      <c r="Q23" s="22"/>
      <c r="R23" s="22"/>
      <c r="S23" s="22"/>
      <c r="T23" s="21"/>
      <c r="U23" s="21"/>
      <c r="V23" s="21"/>
    </row>
    <row r="24" spans="1:22">
      <c r="A24" s="174" t="s">
        <v>84</v>
      </c>
      <c r="B24" s="156"/>
      <c r="C24" s="156"/>
      <c r="D24" s="156"/>
      <c r="E24" s="156"/>
      <c r="F24" s="165" t="s">
        <v>80</v>
      </c>
      <c r="G24" s="165" t="s">
        <v>6</v>
      </c>
      <c r="H24" s="166" t="s">
        <v>78</v>
      </c>
      <c r="I24" s="153"/>
      <c r="J24" s="178" t="s">
        <v>81</v>
      </c>
      <c r="K24" s="179"/>
      <c r="L24" s="179"/>
      <c r="M24" s="179"/>
      <c r="N24" s="179"/>
      <c r="O24" s="183"/>
      <c r="P24" s="22"/>
      <c r="Q24" s="22"/>
      <c r="R24" s="22"/>
      <c r="S24" s="22"/>
      <c r="T24" s="21"/>
      <c r="U24" s="21"/>
      <c r="V24" s="21"/>
    </row>
    <row r="25" spans="1:22">
      <c r="A25" s="157" t="str">
        <f>"Inntekt "&amp;E4&amp;" (pris "&amp;E4&amp;" x mengde "&amp;E4&amp;")"</f>
        <v>Inntekt hjemme (pris hjemme x mengde hjemme)</v>
      </c>
      <c r="B25" s="157"/>
      <c r="C25" s="157"/>
      <c r="D25" s="157"/>
      <c r="E25" s="157"/>
      <c r="F25" s="141"/>
      <c r="G25" s="159"/>
      <c r="H25" s="167">
        <f>F25*G25</f>
        <v>0</v>
      </c>
      <c r="I25" s="153"/>
      <c r="J25" s="180" t="s">
        <v>82</v>
      </c>
      <c r="K25" s="181"/>
      <c r="L25" s="181"/>
      <c r="M25" s="181"/>
      <c r="N25" s="181"/>
      <c r="O25" s="176"/>
      <c r="P25" s="22"/>
      <c r="Q25" s="22"/>
      <c r="R25" s="22"/>
      <c r="S25" s="22"/>
      <c r="T25" s="21"/>
      <c r="U25" s="21"/>
      <c r="V25" s="21"/>
    </row>
    <row r="26" spans="1:22">
      <c r="A26" s="152" t="str">
        <f>IF(_pm2=0,"","Inntekt "&amp;C14&amp;" (pris "&amp;C14&amp;" x mengde "&amp;C14&amp;")")</f>
        <v/>
      </c>
      <c r="B26" s="152"/>
      <c r="C26" s="152"/>
      <c r="D26" s="152"/>
      <c r="E26" s="152"/>
      <c r="F26" s="142"/>
      <c r="G26" s="43"/>
      <c r="H26" s="168">
        <f>F26*G26</f>
        <v>0</v>
      </c>
      <c r="I26" s="153"/>
      <c r="J26" s="135"/>
      <c r="K26" s="22"/>
      <c r="L26" s="22"/>
      <c r="M26" s="22"/>
      <c r="N26" s="182"/>
      <c r="O26" s="176"/>
      <c r="P26" s="22"/>
      <c r="Q26" s="22"/>
      <c r="R26" s="22"/>
      <c r="S26" s="22"/>
      <c r="T26" s="21"/>
      <c r="U26" s="21"/>
      <c r="V26" s="21"/>
    </row>
    <row r="27" spans="1:22">
      <c r="A27" s="158" t="str">
        <f>"Sum Inntekt"</f>
        <v>Sum Inntekt</v>
      </c>
      <c r="B27" s="158"/>
      <c r="C27" s="157"/>
      <c r="D27" s="157"/>
      <c r="E27" s="157"/>
      <c r="F27" s="169"/>
      <c r="G27" s="169"/>
      <c r="H27" s="170">
        <f>SUM(H25:H26)</f>
        <v>0</v>
      </c>
      <c r="I27" s="153"/>
      <c r="J27" s="135"/>
      <c r="K27" s="22"/>
      <c r="L27" s="22"/>
      <c r="M27" s="22"/>
      <c r="N27" s="182"/>
      <c r="O27" s="176"/>
      <c r="P27" s="22"/>
      <c r="Q27" s="22"/>
      <c r="R27" s="22"/>
      <c r="S27" s="22"/>
      <c r="T27" s="21"/>
      <c r="U27" s="21"/>
      <c r="V27" s="21"/>
    </row>
    <row r="28" spans="1:22">
      <c r="A28" s="154" t="str">
        <f>"Sum enhetskostnader ved "&amp;IF(G28=0," ",G28&amp;" enheter")</f>
        <v xml:space="preserve">Sum enhetskostnader ved  </v>
      </c>
      <c r="B28" s="154"/>
      <c r="C28" s="152"/>
      <c r="D28" s="152"/>
      <c r="E28" s="152"/>
      <c r="F28" s="142"/>
      <c r="G28" s="171">
        <f>SUM(G25:G26)</f>
        <v>0</v>
      </c>
      <c r="H28" s="168">
        <f>F28*G28</f>
        <v>0</v>
      </c>
      <c r="I28" s="153"/>
      <c r="J28" s="135"/>
      <c r="K28" s="22"/>
      <c r="L28" s="22"/>
      <c r="M28" s="22"/>
      <c r="N28" s="182"/>
      <c r="O28" s="176"/>
      <c r="P28" s="22"/>
      <c r="Q28" s="22"/>
      <c r="R28" s="22"/>
      <c r="S28" s="22"/>
      <c r="T28" s="21"/>
      <c r="U28" s="21"/>
      <c r="V28" s="21"/>
    </row>
    <row r="29" spans="1:22">
      <c r="A29" s="155" t="str">
        <f>IF(H29&lt;0,"Underskudd ","Overskudd "&amp;"(sum inntekter - sum kostnader)")</f>
        <v>Overskudd (sum inntekter - sum kostnader)</v>
      </c>
      <c r="B29" s="155"/>
      <c r="C29" s="156"/>
      <c r="D29" s="156"/>
      <c r="E29" s="156"/>
      <c r="F29" s="172"/>
      <c r="G29" s="172"/>
      <c r="H29" s="173">
        <f>H27-H28</f>
        <v>0</v>
      </c>
      <c r="I29" s="153"/>
      <c r="J29" s="135"/>
      <c r="K29" s="22"/>
      <c r="L29" s="22"/>
      <c r="M29" s="22"/>
      <c r="N29" s="182"/>
      <c r="O29" s="176"/>
      <c r="P29" s="22"/>
      <c r="Q29" s="22"/>
      <c r="R29" s="22"/>
      <c r="S29" s="22"/>
      <c r="T29" s="21"/>
      <c r="U29" s="21"/>
      <c r="V29" s="21"/>
    </row>
    <row r="30" spans="1:22">
      <c r="A30" s="154" t="str">
        <f>"Variable enhetskostnader ved "&amp;IF(G28=0," ",G28&amp;" enheter")</f>
        <v xml:space="preserve">Variable enhetskostnader ved  </v>
      </c>
      <c r="B30" s="154"/>
      <c r="C30" s="152"/>
      <c r="D30" s="152"/>
      <c r="E30" s="152"/>
      <c r="F30" s="142"/>
      <c r="G30" s="171">
        <f>SUM(G25:G26)</f>
        <v>0</v>
      </c>
      <c r="H30" s="168">
        <f>F30*G30</f>
        <v>0</v>
      </c>
      <c r="I30" s="153"/>
      <c r="J30" s="135"/>
      <c r="K30" s="22"/>
      <c r="L30" s="22"/>
      <c r="M30" s="22"/>
      <c r="N30" s="182"/>
      <c r="O30" s="176"/>
      <c r="P30" s="22"/>
      <c r="Q30" s="22"/>
      <c r="R30" s="22"/>
      <c r="S30" s="22"/>
      <c r="T30" s="21"/>
      <c r="U30" s="21"/>
      <c r="V30" s="21"/>
    </row>
    <row r="31" spans="1:22">
      <c r="A31" s="155" t="s">
        <v>79</v>
      </c>
      <c r="B31" s="155"/>
      <c r="C31" s="156"/>
      <c r="D31" s="156"/>
      <c r="E31" s="156"/>
      <c r="F31" s="172"/>
      <c r="G31" s="172"/>
      <c r="H31" s="173">
        <f>IF(H30=0,0,H25+H26-H30)</f>
        <v>0</v>
      </c>
      <c r="I31" s="153"/>
      <c r="J31" s="135"/>
      <c r="K31" s="22"/>
      <c r="L31" s="22"/>
      <c r="M31" s="22"/>
      <c r="N31" s="182"/>
      <c r="O31" s="176"/>
      <c r="P31" s="22"/>
      <c r="Q31" s="22"/>
      <c r="R31" s="22"/>
      <c r="S31" s="22"/>
      <c r="T31" s="21"/>
      <c r="U31" s="21"/>
      <c r="V31" s="21"/>
    </row>
    <row r="32" spans="1:22">
      <c r="A32" s="158"/>
      <c r="B32" s="158"/>
      <c r="C32" s="157"/>
      <c r="D32" s="157"/>
      <c r="E32" s="157"/>
      <c r="F32" s="169"/>
      <c r="G32" s="169"/>
      <c r="H32" s="175"/>
      <c r="I32" s="153"/>
      <c r="J32" s="135"/>
      <c r="K32" s="22"/>
      <c r="L32" s="22"/>
      <c r="M32" s="22"/>
      <c r="N32" s="182"/>
      <c r="O32" s="176"/>
      <c r="P32" s="22"/>
      <c r="Q32" s="22"/>
      <c r="R32" s="22"/>
      <c r="S32" s="22"/>
      <c r="T32" s="21"/>
      <c r="U32" s="21"/>
      <c r="V32" s="21"/>
    </row>
    <row r="33" spans="1:55">
      <c r="A33" s="161" t="s">
        <v>131</v>
      </c>
      <c r="B33" s="158"/>
      <c r="C33" s="157"/>
      <c r="D33" s="157"/>
      <c r="E33" s="157"/>
      <c r="F33" s="157"/>
      <c r="G33" s="157"/>
      <c r="H33" s="175"/>
      <c r="I33" s="153"/>
      <c r="J33" s="135"/>
      <c r="K33" s="22"/>
      <c r="L33" s="22"/>
      <c r="M33" s="22"/>
      <c r="N33" s="182"/>
      <c r="O33" s="176"/>
      <c r="P33" s="22"/>
      <c r="Q33" s="22"/>
      <c r="R33" s="22"/>
      <c r="S33" s="22"/>
      <c r="T33" s="21"/>
      <c r="U33" s="21"/>
      <c r="V33" s="21"/>
    </row>
    <row r="34" spans="1:55">
      <c r="A34" s="224" t="s">
        <v>132</v>
      </c>
      <c r="B34" s="224"/>
      <c r="C34" s="225" t="str">
        <f>IF(($A$42-$A$44)&lt;&gt;0,A42&amp;"-"&amp;A44,"")</f>
        <v/>
      </c>
      <c r="D34" s="225" t="str">
        <f>IF(($A$44-$A$46)&lt;&gt;0,A44&amp;"-"&amp;A46,"")</f>
        <v/>
      </c>
      <c r="E34" s="225" t="str">
        <f>IF(($A$46-$A$48)&lt;&gt;0,A46&amp;"-"&amp;A48,"")</f>
        <v/>
      </c>
      <c r="F34" s="225" t="str">
        <f>IF(($A$48-$A$50)&lt;&gt;0,A48&amp;"-"&amp;A50,"")</f>
        <v/>
      </c>
      <c r="G34" s="225" t="str">
        <f>IF(($A$50-$A$52)&lt;&gt;0,A50&amp;"-"&amp;A52,"")</f>
        <v/>
      </c>
      <c r="H34" s="175"/>
      <c r="I34" s="153"/>
      <c r="J34" s="135"/>
      <c r="K34" s="22"/>
      <c r="L34" s="22"/>
      <c r="M34" s="22"/>
      <c r="N34" s="182"/>
      <c r="O34" s="176"/>
      <c r="P34" s="22"/>
      <c r="Q34" s="22"/>
      <c r="R34" s="22"/>
      <c r="S34" s="22"/>
      <c r="T34" s="21"/>
      <c r="U34" s="21"/>
      <c r="V34" s="21"/>
    </row>
    <row r="35" spans="1:55">
      <c r="A35" s="224" t="s">
        <v>133</v>
      </c>
      <c r="B35" s="224"/>
      <c r="C35" s="228" t="str">
        <f>(IF(tabell2=0,"",((A44-tabell2)/tabell2)/((B42-B44)/B44)))</f>
        <v/>
      </c>
      <c r="D35" s="228" t="str">
        <f>(IF(A44*B46=0,"",-((A46-A44)/A44)/((B46-B44)/B46)))</f>
        <v/>
      </c>
      <c r="E35" s="229" t="str">
        <f>(IF(A46*B48=0,"",-((A48-A46)/A46)/((B48-B46)/B48)))</f>
        <v/>
      </c>
      <c r="F35" s="229" t="str">
        <f>(IF((A48*B50)=0,"",-((A50-A48)/A48)/((B50-B48)/B50)))</f>
        <v/>
      </c>
      <c r="G35" s="229" t="str">
        <f>(IF((A50*B52)=0,"",-((A52-A50)/A50)/((B52-B50)/B52)))</f>
        <v/>
      </c>
      <c r="H35" s="175"/>
      <c r="I35" s="153"/>
      <c r="J35" s="135"/>
      <c r="K35" s="22"/>
      <c r="L35" s="22"/>
      <c r="M35" s="22"/>
      <c r="N35" s="182"/>
      <c r="O35" s="176"/>
      <c r="P35" s="22"/>
      <c r="Q35" s="22"/>
      <c r="R35" s="22"/>
      <c r="S35" s="22"/>
      <c r="T35" s="21"/>
      <c r="U35" s="21"/>
      <c r="V35" s="21"/>
    </row>
    <row r="36" spans="1:55">
      <c r="A36" s="224" t="s">
        <v>132</v>
      </c>
      <c r="B36" s="224"/>
      <c r="C36" s="225" t="str">
        <f>IF(($A$52-$A$54)&lt;&gt;0,A52&amp;"-"&amp;A54,"")</f>
        <v/>
      </c>
      <c r="D36" s="225" t="str">
        <f>IF(($A$54-$A$56)&lt;&gt;0,A54&amp;"-"&amp;A56,"")</f>
        <v/>
      </c>
      <c r="E36" s="225" t="str">
        <f>IF(($A$56-$A$58)&lt;&gt;0,A56&amp;"-"&amp;A58,"")</f>
        <v/>
      </c>
      <c r="F36" s="226" t="str">
        <f>IF(($A$58-$A$60)&lt;&gt;0,A58&amp;"-"&amp;A60,"")</f>
        <v/>
      </c>
      <c r="G36" s="226" t="str">
        <f>IF(($A$60-$A$62)&lt;&gt;0,A60&amp;"-"&amp;A62,"")</f>
        <v/>
      </c>
      <c r="H36" s="175"/>
      <c r="I36" s="153"/>
      <c r="J36" s="137"/>
      <c r="K36" s="138"/>
      <c r="L36" s="138"/>
      <c r="M36" s="138"/>
      <c r="N36" s="184"/>
      <c r="O36" s="177"/>
      <c r="P36" s="22"/>
      <c r="Q36" s="22"/>
      <c r="R36" s="22"/>
      <c r="S36" s="22"/>
      <c r="T36" s="21"/>
      <c r="U36" s="21"/>
      <c r="V36" s="21"/>
    </row>
    <row r="37" spans="1:55">
      <c r="A37" s="224" t="s">
        <v>133</v>
      </c>
      <c r="B37" s="227"/>
      <c r="C37" s="228" t="str">
        <f>(IF(A52*B54=0,"",-((A54-A52)/A52)/((B54-B52)/B54)))</f>
        <v/>
      </c>
      <c r="D37" s="228" t="str">
        <f>(IF(A54*B56=0,"",-((A56-A54)/A54)/((B56-B54)/B56)))</f>
        <v/>
      </c>
      <c r="E37" s="229" t="str">
        <f>(IF(A56*B58=0,"",-((A58-A56)/A56)/((B58-B56)/B58)))</f>
        <v/>
      </c>
      <c r="F37" s="229" t="str">
        <f>(IF(A58*B60=0,"",-((A60-A58)/A58)/((B60-B58)/B60)))</f>
        <v/>
      </c>
      <c r="G37" s="229" t="str">
        <f>(IF(A60*B62=0,"",-((A62-A60)/A60)/((B62-B60)/B62)))</f>
        <v/>
      </c>
      <c r="H37" s="153"/>
      <c r="I37" s="153"/>
      <c r="J37" s="21"/>
      <c r="K37" s="21"/>
      <c r="L37" s="21"/>
      <c r="M37" s="21"/>
      <c r="N37" s="21"/>
      <c r="O37" s="21"/>
      <c r="P37" s="21"/>
      <c r="Q37" s="21"/>
      <c r="R37" s="21"/>
      <c r="S37" s="21"/>
      <c r="T37" s="21"/>
      <c r="U37" s="21"/>
      <c r="V37" s="21"/>
      <c r="AD37" s="1" t="str">
        <f>IF(D3=0,"","Navn/oppgavenummer: "&amp;D3)</f>
        <v/>
      </c>
    </row>
    <row r="39" spans="1:55" ht="16.5" customHeight="1">
      <c r="A39" s="56" t="s">
        <v>24</v>
      </c>
      <c r="B39" s="57"/>
      <c r="C39" s="57"/>
      <c r="D39" s="57"/>
      <c r="E39" s="57"/>
      <c r="F39" s="57"/>
      <c r="G39" s="57"/>
      <c r="H39" s="57"/>
      <c r="I39" s="58"/>
      <c r="J39" s="58"/>
      <c r="L39" s="56" t="s">
        <v>12</v>
      </c>
      <c r="M39" s="56"/>
      <c r="N39" s="57"/>
      <c r="O39" s="57"/>
      <c r="P39" s="57"/>
      <c r="Q39" s="57"/>
      <c r="R39" s="57"/>
      <c r="S39" s="57"/>
      <c r="T39" s="58"/>
      <c r="U39" s="58"/>
      <c r="W39" s="232" t="s">
        <v>77</v>
      </c>
      <c r="X39" s="232"/>
      <c r="Y39" s="232"/>
      <c r="Z39" s="232"/>
      <c r="AD39" s="5" t="s">
        <v>65</v>
      </c>
      <c r="AE39" s="7"/>
      <c r="AF39" s="7"/>
      <c r="AG39" s="7"/>
      <c r="AH39" s="7"/>
      <c r="AI39" s="6"/>
      <c r="AJ39" s="6"/>
      <c r="AK39" s="6"/>
      <c r="AL39" s="7"/>
      <c r="AM39" s="7"/>
      <c r="AN39" s="7"/>
      <c r="AO39" s="7"/>
      <c r="AP39" s="120" t="str">
        <f>IF(E12=0,"","Resultat "&amp;C14&amp;" må regnes manuelt")</f>
        <v/>
      </c>
      <c r="BC39" s="1" t="str">
        <f>IF(Q14=0,"",Q14)</f>
        <v/>
      </c>
    </row>
    <row r="40" spans="1:55">
      <c r="A40" s="47"/>
      <c r="B40" s="47" t="s">
        <v>13</v>
      </c>
      <c r="C40" s="46" t="s">
        <v>25</v>
      </c>
      <c r="D40" s="47" t="s">
        <v>26</v>
      </c>
      <c r="E40" s="46" t="s">
        <v>86</v>
      </c>
      <c r="F40" s="46" t="s">
        <v>4</v>
      </c>
      <c r="G40" s="46" t="s">
        <v>18</v>
      </c>
      <c r="H40" s="46" t="s">
        <v>27</v>
      </c>
      <c r="I40" s="46" t="s">
        <v>22</v>
      </c>
      <c r="J40" s="46" t="s">
        <v>50</v>
      </c>
      <c r="L40" s="85"/>
      <c r="M40" s="47" t="s">
        <v>13</v>
      </c>
      <c r="N40" s="46" t="s">
        <v>14</v>
      </c>
      <c r="O40" s="48" t="s">
        <v>15</v>
      </c>
      <c r="P40" s="46" t="s">
        <v>37</v>
      </c>
      <c r="Q40" s="46" t="s">
        <v>17</v>
      </c>
      <c r="R40" s="46" t="s">
        <v>85</v>
      </c>
      <c r="S40" s="46" t="s">
        <v>19</v>
      </c>
      <c r="T40" s="46" t="s">
        <v>22</v>
      </c>
      <c r="U40" s="46" t="s">
        <v>28</v>
      </c>
      <c r="W40" s="47"/>
      <c r="X40" s="47" t="str">
        <f>IF(C14=0,"","Pris")</f>
        <v>Pris</v>
      </c>
      <c r="Y40" s="47" t="str">
        <f>IF(C14=0,"","Inntekt")</f>
        <v>Inntekt</v>
      </c>
      <c r="Z40" s="46" t="s">
        <v>16</v>
      </c>
      <c r="AD40" s="25" t="str">
        <f>IF(W40=0,"",W40)</f>
        <v/>
      </c>
      <c r="AE40" s="26" t="s">
        <v>16</v>
      </c>
      <c r="AF40" s="26" t="s">
        <v>51</v>
      </c>
      <c r="AG40" s="26" t="str">
        <f>IF(P40=0,"",P40)</f>
        <v xml:space="preserve">Sum faste </v>
      </c>
      <c r="AH40" s="26" t="s">
        <v>52</v>
      </c>
      <c r="AI40" s="26" t="str">
        <f>IF(Q40=0,"",Q40)</f>
        <v>Sum var.</v>
      </c>
      <c r="AJ40" s="26" t="s">
        <v>54</v>
      </c>
      <c r="AK40" s="26" t="str">
        <f>IF(R40=0,"",R40)</f>
        <v>Sum totale</v>
      </c>
      <c r="AL40" s="26" t="s">
        <v>54</v>
      </c>
      <c r="AM40" s="26" t="str">
        <f>IF(T40=0,"",T40)</f>
        <v>Resultat</v>
      </c>
      <c r="AN40" s="26" t="s">
        <v>56</v>
      </c>
      <c r="AO40" s="26" t="s">
        <v>58</v>
      </c>
      <c r="AP40" s="27" t="s">
        <v>59</v>
      </c>
    </row>
    <row r="41" spans="1:55" ht="13.5" thickBot="1">
      <c r="A41" s="59" t="s">
        <v>6</v>
      </c>
      <c r="B41" s="50" t="str">
        <f>E4</f>
        <v>hjemme</v>
      </c>
      <c r="C41" s="50" t="str">
        <f>E4</f>
        <v>hjemme</v>
      </c>
      <c r="D41" s="50" t="str">
        <f>C14</f>
        <v>utlandet</v>
      </c>
      <c r="E41" s="49" t="s">
        <v>29</v>
      </c>
      <c r="F41" s="49" t="s">
        <v>31</v>
      </c>
      <c r="G41" s="49" t="s">
        <v>31</v>
      </c>
      <c r="H41" s="49" t="s">
        <v>21</v>
      </c>
      <c r="I41" s="49" t="s">
        <v>30</v>
      </c>
      <c r="J41" s="49" t="s">
        <v>30</v>
      </c>
      <c r="L41" s="59" t="s">
        <v>6</v>
      </c>
      <c r="M41" s="50" t="str">
        <f>E4</f>
        <v>hjemme</v>
      </c>
      <c r="N41" s="50" t="str">
        <f>E4</f>
        <v>hjemme</v>
      </c>
      <c r="O41" s="50" t="str">
        <f>E4</f>
        <v>hjemme</v>
      </c>
      <c r="P41" s="49" t="s">
        <v>21</v>
      </c>
      <c r="Q41" s="51" t="s">
        <v>21</v>
      </c>
      <c r="R41" s="49" t="s">
        <v>21</v>
      </c>
      <c r="S41" s="49" t="s">
        <v>21</v>
      </c>
      <c r="T41" s="49" t="str">
        <f>IF(_pm2&gt;0,"hjemme","")</f>
        <v/>
      </c>
      <c r="U41" s="49" t="str">
        <f>IF(_pm2&gt;0,"hjemme","")</f>
        <v/>
      </c>
      <c r="W41" s="59" t="s">
        <v>6</v>
      </c>
      <c r="X41" s="50" t="str">
        <f>C14</f>
        <v>utlandet</v>
      </c>
      <c r="Y41" s="50" t="str">
        <f>C14</f>
        <v>utlandet</v>
      </c>
      <c r="Z41" s="49" t="s">
        <v>20</v>
      </c>
      <c r="AD41" s="28" t="str">
        <f>IF(W41=0,"",W41)</f>
        <v>Mengde</v>
      </c>
      <c r="AE41" s="29" t="s">
        <v>20</v>
      </c>
      <c r="AF41" s="29" t="s">
        <v>20</v>
      </c>
      <c r="AG41" s="29" t="str">
        <f>IF(P41=0,"",P41)</f>
        <v>kostn.</v>
      </c>
      <c r="AH41" s="29" t="s">
        <v>53</v>
      </c>
      <c r="AI41" s="29" t="str">
        <f>IF(Q41=0,"",Q41)</f>
        <v>kostn.</v>
      </c>
      <c r="AJ41" s="29" t="s">
        <v>55</v>
      </c>
      <c r="AK41" s="29" t="str">
        <f>IF(R41=0,"",R41)</f>
        <v>kostn.</v>
      </c>
      <c r="AL41" s="29" t="s">
        <v>21</v>
      </c>
      <c r="AM41" s="29" t="str">
        <f>IF(T41=0,"",T41)</f>
        <v/>
      </c>
      <c r="AN41" s="29" t="s">
        <v>57</v>
      </c>
      <c r="AO41" s="29" t="s">
        <v>23</v>
      </c>
      <c r="AP41" s="30" t="s">
        <v>23</v>
      </c>
      <c r="BC41" s="1" t="str">
        <f>IF(Q15=0,"",Q15)</f>
        <v/>
      </c>
    </row>
    <row r="42" spans="1:55" ht="12" customHeight="1">
      <c r="A42" s="60">
        <f>L42</f>
        <v>0</v>
      </c>
      <c r="B42" s="88">
        <f>IF(M42=0,0,M42)</f>
        <v>0</v>
      </c>
      <c r="C42" s="53"/>
      <c r="D42" s="88">
        <f>E14</f>
        <v>0</v>
      </c>
      <c r="E42" s="88">
        <f>IF(P42=0,0,IF($W42=0,0,P42/$W42))</f>
        <v>0</v>
      </c>
      <c r="F42" s="53">
        <f>IF(Q42=0,0,IF($W42=0,0,Q42/$W42))</f>
        <v>0</v>
      </c>
      <c r="G42" s="53">
        <f>IF(E42=0,F42,E42+F42)</f>
        <v>0</v>
      </c>
      <c r="H42" s="53"/>
      <c r="I42" s="53">
        <f>IF(A42=0,0,T42/mengde2)</f>
        <v>0</v>
      </c>
      <c r="J42" s="53">
        <f>IF(A42=0,0,U42/mengde2)</f>
        <v>0</v>
      </c>
      <c r="L42" s="60">
        <f>IF(W42&lt;=stoppmengde,W42,0)</f>
        <v>0</v>
      </c>
      <c r="M42" s="88">
        <f>E8</f>
        <v>0</v>
      </c>
      <c r="N42" s="52">
        <f>W42*M42</f>
        <v>0</v>
      </c>
      <c r="O42" s="52"/>
      <c r="P42" s="52">
        <f>FTK</f>
        <v>0</v>
      </c>
      <c r="Q42" s="52">
        <f>IF(Q6=0,IF(R6=0,VEK*m,P6*R6),Q6)</f>
        <v>0</v>
      </c>
      <c r="R42" s="52">
        <f>P42+Q42</f>
        <v>0</v>
      </c>
      <c r="S42" s="52"/>
      <c r="T42" s="52">
        <f>N42-stk</f>
        <v>0</v>
      </c>
      <c r="U42" s="52">
        <f>N42-vtk</f>
        <v>0</v>
      </c>
      <c r="W42" s="60">
        <f>Startmengde</f>
        <v>0</v>
      </c>
      <c r="X42" s="88">
        <f>E14</f>
        <v>0</v>
      </c>
      <c r="Y42" s="52">
        <f>IF(X42=0,0,X42*_mm2)</f>
        <v>0</v>
      </c>
      <c r="Z42" s="52">
        <f>IF(N42=0,0,N42+Y42)</f>
        <v>0</v>
      </c>
      <c r="AB42" s="64" t="str">
        <f>IF(EP=0,"",IF(BA99=0,"",BA99))</f>
        <v/>
      </c>
      <c r="AD42" s="73" t="str">
        <f>IF(Startmengde="","",AU98)</f>
        <v/>
      </c>
      <c r="AE42" s="126" t="str">
        <f>IF(Startmengde="","",AV98)</f>
        <v/>
      </c>
      <c r="AF42" s="127" t="str">
        <f>IF(Startmengde="","",IF(EP=0,0,IF(AD42=0,0,BA98)))</f>
        <v/>
      </c>
      <c r="AG42" s="74" t="str">
        <f>IF(stoppmengde="","",AZ98)</f>
        <v/>
      </c>
      <c r="AH42" s="74" t="str">
        <f>IF(EFTK=0,"",IF(BE98=0,"",BE98))</f>
        <v/>
      </c>
      <c r="AI42" s="74" t="str">
        <f>IF(AX98=0,"",AX98)</f>
        <v/>
      </c>
      <c r="AJ42" s="74" t="str">
        <f>IF(EVK=0,"",IF(BC98=0,"",BC98))</f>
        <v/>
      </c>
      <c r="AK42" s="74" t="str">
        <f>IF(stoppmengde="","",AW98)</f>
        <v/>
      </c>
      <c r="AL42" s="74" t="str">
        <f>IF((EVK+EFTK)=0,"",IF(BB98=0,"",BB98))</f>
        <v/>
      </c>
      <c r="AM42" s="127" t="str">
        <f>IF(mengde3="","",AY98)</f>
        <v/>
      </c>
      <c r="AN42" s="127" t="str">
        <f>IF((EVK+EFTK+EP)=0,"",IF(mengde3="","",BD98))</f>
        <v/>
      </c>
      <c r="AO42" s="127" t="str">
        <f>IF(mengde3="","",BF98)</f>
        <v/>
      </c>
      <c r="AP42" s="130" t="str">
        <f>IF((EVK+EFTK+EP)=0,"",IF(mengde3="","",BG98))</f>
        <v/>
      </c>
    </row>
    <row r="43" spans="1:55" ht="12" customHeight="1">
      <c r="A43" s="60"/>
      <c r="B43" s="88"/>
      <c r="C43" s="53">
        <f>IF(O43=0,0,O43/($W44-$W42))</f>
        <v>0</v>
      </c>
      <c r="D43" s="88"/>
      <c r="E43" s="88"/>
      <c r="F43" s="53"/>
      <c r="G43" s="53"/>
      <c r="H43" s="53">
        <f>IF(S43=0,0,S43/($W44-$W42))</f>
        <v>0</v>
      </c>
      <c r="I43" s="53"/>
      <c r="J43" s="53"/>
      <c r="L43" s="60"/>
      <c r="M43" s="88"/>
      <c r="N43" s="52"/>
      <c r="O43" s="52">
        <f>IF(stoppmengde&lt;=W42,0,N44-N42)</f>
        <v>0</v>
      </c>
      <c r="P43" s="52"/>
      <c r="Q43" s="52"/>
      <c r="R43" s="52"/>
      <c r="S43" s="52">
        <f>IF(stoppmengde&lt;=W42,0,R44-R42)</f>
        <v>0</v>
      </c>
      <c r="T43" s="52"/>
      <c r="U43" s="52"/>
      <c r="W43" s="60"/>
      <c r="X43" s="88"/>
      <c r="Y43" s="52"/>
      <c r="Z43" s="52"/>
      <c r="AD43" s="75"/>
      <c r="AE43" s="127"/>
      <c r="AF43" s="127"/>
      <c r="AG43" s="74"/>
      <c r="AH43" s="74"/>
      <c r="AI43" s="74"/>
      <c r="AJ43" s="74"/>
      <c r="AK43" s="74"/>
      <c r="AL43" s="74"/>
      <c r="AM43" s="127"/>
      <c r="AN43" s="127"/>
      <c r="AO43" s="127"/>
      <c r="AP43" s="131"/>
    </row>
    <row r="44" spans="1:55" ht="12" customHeight="1">
      <c r="A44" s="60">
        <f>L44</f>
        <v>0</v>
      </c>
      <c r="B44" s="88">
        <f>IF(M44=0,0,M44)</f>
        <v>0</v>
      </c>
      <c r="C44" s="53"/>
      <c r="D44" s="88">
        <f>IF(A44=0,0,D42)</f>
        <v>0</v>
      </c>
      <c r="E44" s="88">
        <f>IF(P44=0,0,IF($W44=0,0,P44/$W44))</f>
        <v>0</v>
      </c>
      <c r="F44" s="53">
        <f>IF(Q44=0,0,IF($W44=0,0,Q44/$W44))</f>
        <v>0</v>
      </c>
      <c r="G44" s="53">
        <f>IF(L44=0,F44,E44+F44)</f>
        <v>0</v>
      </c>
      <c r="H44" s="53"/>
      <c r="I44" s="53">
        <f>IF(A44=0,0,T44/mengde2)</f>
        <v>0</v>
      </c>
      <c r="J44" s="53">
        <f>IF(A44=0,0,U44/mengde2)</f>
        <v>0</v>
      </c>
      <c r="L44" s="60">
        <f>IF(W44&lt;=stoppmengde,W44,0)</f>
        <v>0</v>
      </c>
      <c r="M44" s="88">
        <f>IF(m&gt;stoppmengde,0,M42-$E$9)</f>
        <v>0</v>
      </c>
      <c r="N44" s="52">
        <f>IF(m&gt;stoppmengde,0,W44*M44)</f>
        <v>0</v>
      </c>
      <c r="O44" s="52"/>
      <c r="P44" s="52">
        <f>IF(m&gt;stoppmengde,0,FTK)</f>
        <v>0</v>
      </c>
      <c r="Q44" s="52">
        <f>IF(m&gt;stoppmengde,0,IF(Q7=0,IF(R7=0,VEK*m,P7*R7),Q7))</f>
        <v>0</v>
      </c>
      <c r="R44" s="52">
        <f>P44+Q44</f>
        <v>0</v>
      </c>
      <c r="S44" s="52"/>
      <c r="T44" s="52">
        <f>IF(L44=0,0,N44-stk)</f>
        <v>0</v>
      </c>
      <c r="U44" s="52">
        <f>IF(L44=0,0,N44-vtk)</f>
        <v>0</v>
      </c>
      <c r="W44" s="60">
        <f>W42+Intervall</f>
        <v>0</v>
      </c>
      <c r="X44" s="88">
        <f>IF(m&gt;stoppmengde,0,X42)</f>
        <v>0</v>
      </c>
      <c r="Y44" s="52">
        <f>IF(X44=0,0,X44*_mm2)</f>
        <v>0</v>
      </c>
      <c r="Z44" s="52">
        <f>IF(N44=0,0,N44+Y44)</f>
        <v>0</v>
      </c>
      <c r="AD44" s="75" t="str">
        <f>IF(AU99=0,"",AU99)</f>
        <v/>
      </c>
      <c r="AE44" s="127" t="str">
        <f>IF(AD44="","",AV99)</f>
        <v/>
      </c>
      <c r="AF44" s="127" t="str">
        <f>IF(EP=0,"",IF(AD44="","",BA99))</f>
        <v/>
      </c>
      <c r="AG44" s="74" t="str">
        <f>IF(AZ99=0,"",AZ99)</f>
        <v/>
      </c>
      <c r="AH44" s="74" t="str">
        <f>IF(EFTK=0,"",IF(BE99=0,"",BE99))</f>
        <v/>
      </c>
      <c r="AI44" s="74" t="str">
        <f>IF(AX99=0,"",AX99)</f>
        <v/>
      </c>
      <c r="AJ44" s="74" t="str">
        <f>IF(EVK=0,"",IF(BC99=0,"",BC99))</f>
        <v/>
      </c>
      <c r="AK44" s="74" t="str">
        <f>IF(AW99=0,"",AW99)</f>
        <v/>
      </c>
      <c r="AL44" s="74" t="str">
        <f>IF((EVK+EFTK)=0,"",IF(BB99=0,"",BB99))</f>
        <v/>
      </c>
      <c r="AM44" s="127" t="str">
        <f>IF(mengde3="","",AY99)</f>
        <v/>
      </c>
      <c r="AN44" s="127" t="str">
        <f>IF((EVK+EFTK+EP)=0,"",IF(mengde3="","",BD99))</f>
        <v/>
      </c>
      <c r="AO44" s="127" t="str">
        <f>IF(mengde3="","",BF99)</f>
        <v/>
      </c>
      <c r="AP44" s="131" t="str">
        <f>IF((EVK+EFTK+EP)=0,"",IF(mengde3="","",BG99))</f>
        <v/>
      </c>
    </row>
    <row r="45" spans="1:55" ht="12" customHeight="1">
      <c r="A45" s="60"/>
      <c r="B45" s="88"/>
      <c r="C45" s="53">
        <f>IF(O45=0,0,O45/($W46-$W44))</f>
        <v>0</v>
      </c>
      <c r="D45" s="88"/>
      <c r="E45" s="88"/>
      <c r="F45" s="53"/>
      <c r="G45" s="53"/>
      <c r="H45" s="53">
        <f>IF(S45=0,0,S45/($W46-$W44))</f>
        <v>0</v>
      </c>
      <c r="I45" s="53"/>
      <c r="J45" s="53"/>
      <c r="L45" s="60"/>
      <c r="M45" s="88"/>
      <c r="N45" s="52"/>
      <c r="O45" s="52">
        <f>IF(stoppmengde&lt;=W44,0,N46-N44)</f>
        <v>0</v>
      </c>
      <c r="P45" s="52"/>
      <c r="Q45" s="52"/>
      <c r="R45" s="52"/>
      <c r="S45" s="52">
        <f>IF(stoppmengde&lt;=W44,0,R46-R44)</f>
        <v>0</v>
      </c>
      <c r="T45" s="52"/>
      <c r="U45" s="52"/>
      <c r="W45" s="60"/>
      <c r="X45" s="88"/>
      <c r="Y45" s="52"/>
      <c r="Z45" s="52"/>
      <c r="AD45" s="75"/>
      <c r="AE45" s="127"/>
      <c r="AF45" s="127"/>
      <c r="AG45" s="74"/>
      <c r="AH45" s="74"/>
      <c r="AI45" s="74"/>
      <c r="AJ45" s="74"/>
      <c r="AK45" s="74"/>
      <c r="AL45" s="74"/>
      <c r="AM45" s="127"/>
      <c r="AN45" s="127"/>
      <c r="AO45" s="127"/>
      <c r="AP45" s="131"/>
    </row>
    <row r="46" spans="1:55" ht="12" customHeight="1">
      <c r="A46" s="60">
        <f>L46</f>
        <v>0</v>
      </c>
      <c r="B46" s="88">
        <f>IF(M46=0,0,M46)</f>
        <v>0</v>
      </c>
      <c r="C46" s="53"/>
      <c r="D46" s="88">
        <f>IF(A46=0,0,D44)</f>
        <v>0</v>
      </c>
      <c r="E46" s="88">
        <f>IF(P46=0,0,IF($W46=0,0,P46/$W46))</f>
        <v>0</v>
      </c>
      <c r="F46" s="53">
        <f>IF(Q46=0,0,IF($W46=0,0,Q46/$W46))</f>
        <v>0</v>
      </c>
      <c r="G46" s="53">
        <f>IF(L46=0,F46,E46+F46)</f>
        <v>0</v>
      </c>
      <c r="H46" s="53"/>
      <c r="I46" s="53">
        <f>IF(A46=0,0,T46/mengde2)</f>
        <v>0</v>
      </c>
      <c r="J46" s="53">
        <f>IF(A46=0,0,U46/mengde2)</f>
        <v>0</v>
      </c>
      <c r="L46" s="60">
        <f>IF(W46&lt;=stoppmengde,W46,0)</f>
        <v>0</v>
      </c>
      <c r="M46" s="88">
        <f>IF(m&gt;stoppmengde,0,M44-$E$9)</f>
        <v>0</v>
      </c>
      <c r="N46" s="52">
        <f>IF(m&gt;stoppmengde,0,W46*M46)</f>
        <v>0</v>
      </c>
      <c r="O46" s="52"/>
      <c r="P46" s="52">
        <f>IF(m&gt;stoppmengde,0,FTK)</f>
        <v>0</v>
      </c>
      <c r="Q46" s="52">
        <f>IF(m&gt;stoppmengde,0,IF(Q8=0,IF(R8=0,VEK*m,P8*R8),Q8))</f>
        <v>0</v>
      </c>
      <c r="R46" s="52">
        <f>P46+Q46</f>
        <v>0</v>
      </c>
      <c r="S46" s="52"/>
      <c r="T46" s="52">
        <f>IF(L46=0,0,N46-stk)</f>
        <v>0</v>
      </c>
      <c r="U46" s="52">
        <f>IF(L46=0,0,N46-vtk)</f>
        <v>0</v>
      </c>
      <c r="W46" s="60">
        <f>W44+Intervall</f>
        <v>0</v>
      </c>
      <c r="X46" s="88">
        <f>IF(m&gt;stoppmengde,0,X44)</f>
        <v>0</v>
      </c>
      <c r="Y46" s="52">
        <f>IF(X46=0,0,X46*_mm2)</f>
        <v>0</v>
      </c>
      <c r="Z46" s="52">
        <f>IF(N46=0,0,N46+Y46)</f>
        <v>0</v>
      </c>
      <c r="AD46" s="75" t="str">
        <f>IF(AU100=0,"",AU100)</f>
        <v/>
      </c>
      <c r="AE46" s="127" t="str">
        <f>IF(AD46="","",AV100)</f>
        <v/>
      </c>
      <c r="AF46" s="127" t="str">
        <f>IF(EP=0,"",IF(AD46="","",BA100))</f>
        <v/>
      </c>
      <c r="AG46" s="74" t="str">
        <f>IF(AZ100=0,"",AZ100)</f>
        <v/>
      </c>
      <c r="AH46" s="74" t="str">
        <f>IF(EFTK=0,"",IF(BE100=0,"",BE100))</f>
        <v/>
      </c>
      <c r="AI46" s="74" t="str">
        <f>IF(AX100=0,"",AX100)</f>
        <v/>
      </c>
      <c r="AJ46" s="74" t="str">
        <f>IF(EVK=0,"",IF(BC100=0,"",BC100))</f>
        <v/>
      </c>
      <c r="AK46" s="74" t="str">
        <f>IF(AW100=0,"",AW100)</f>
        <v/>
      </c>
      <c r="AL46" s="74" t="str">
        <f>IF((EVK+EFTK)=0,"",IF(BB100=0,"",BB100))</f>
        <v/>
      </c>
      <c r="AM46" s="127" t="str">
        <f>IF(mengde3="","",AY100)</f>
        <v/>
      </c>
      <c r="AN46" s="127" t="str">
        <f>IF((EVK+EFTK+EP)=0,"",IF(mengde3="","",BD100))</f>
        <v/>
      </c>
      <c r="AO46" s="127" t="str">
        <f>IF(mengde3="","",BF100)</f>
        <v/>
      </c>
      <c r="AP46" s="131" t="str">
        <f>IF((EVK+EFTK+EP)=0,"",IF(mengde3="","",BG100))</f>
        <v/>
      </c>
    </row>
    <row r="47" spans="1:55" ht="12" customHeight="1">
      <c r="A47" s="60"/>
      <c r="B47" s="88"/>
      <c r="C47" s="53">
        <f>IF(O47=0,0,O47/($W48-$W46))</f>
        <v>0</v>
      </c>
      <c r="D47" s="88"/>
      <c r="E47" s="88"/>
      <c r="F47" s="53"/>
      <c r="G47" s="53"/>
      <c r="H47" s="53">
        <f>IF(S47=0,0,S47/($W48-$W46))</f>
        <v>0</v>
      </c>
      <c r="I47" s="53"/>
      <c r="J47" s="53"/>
      <c r="L47" s="60"/>
      <c r="M47" s="88"/>
      <c r="N47" s="52"/>
      <c r="O47" s="52">
        <f>IF(stoppmengde&lt;=W46,0,N48-N46)</f>
        <v>0</v>
      </c>
      <c r="P47" s="52"/>
      <c r="Q47" s="52"/>
      <c r="R47" s="52"/>
      <c r="S47" s="52">
        <f>IF(stoppmengde&lt;=W46,0,R48-R46)</f>
        <v>0</v>
      </c>
      <c r="T47" s="52"/>
      <c r="U47" s="52"/>
      <c r="W47" s="60"/>
      <c r="X47" s="88"/>
      <c r="Y47" s="52"/>
      <c r="Z47" s="52"/>
      <c r="AD47" s="75"/>
      <c r="AE47" s="127"/>
      <c r="AF47" s="127"/>
      <c r="AG47" s="74"/>
      <c r="AH47" s="74"/>
      <c r="AI47" s="74"/>
      <c r="AJ47" s="74"/>
      <c r="AK47" s="74"/>
      <c r="AL47" s="74"/>
      <c r="AM47" s="127"/>
      <c r="AN47" s="127"/>
      <c r="AO47" s="127"/>
      <c r="AP47" s="131"/>
    </row>
    <row r="48" spans="1:55" ht="12" customHeight="1">
      <c r="A48" s="60">
        <f>L48</f>
        <v>0</v>
      </c>
      <c r="B48" s="88">
        <f>IF(M48=0,0,M48)</f>
        <v>0</v>
      </c>
      <c r="C48" s="53"/>
      <c r="D48" s="88">
        <f>IF(A48=0,0,D46)</f>
        <v>0</v>
      </c>
      <c r="E48" s="88">
        <f>IF(P48=0,0,IF($W48=0,0,P48/$W48))</f>
        <v>0</v>
      </c>
      <c r="F48" s="53">
        <f>IF(Q48=0,0,IF($W48=0,0,Q48/$W48))</f>
        <v>0</v>
      </c>
      <c r="G48" s="53">
        <f>IF(L48=0,F48,E48+F48)</f>
        <v>0</v>
      </c>
      <c r="H48" s="53"/>
      <c r="I48" s="53">
        <f>IF(A48=0,0,T48/mengde2)</f>
        <v>0</v>
      </c>
      <c r="J48" s="53">
        <f>IF(A48=0,0,U48/mengde2)</f>
        <v>0</v>
      </c>
      <c r="L48" s="60">
        <f>IF(W48&lt;=stoppmengde,W48,0)</f>
        <v>0</v>
      </c>
      <c r="M48" s="88">
        <f>IF(m&gt;stoppmengde,0,M46-$E$9)</f>
        <v>0</v>
      </c>
      <c r="N48" s="52">
        <f>IF(m&gt;stoppmengde,0,W48*M48)</f>
        <v>0</v>
      </c>
      <c r="O48" s="52"/>
      <c r="P48" s="52">
        <f>IF(m&gt;stoppmengde,0,FTK)</f>
        <v>0</v>
      </c>
      <c r="Q48" s="52">
        <f>IF(m&gt;stoppmengde,0,IF(Q9=0,IF(R9=0,VEK*m,P9*R9),Q9))</f>
        <v>0</v>
      </c>
      <c r="R48" s="52">
        <f>P48+Q48</f>
        <v>0</v>
      </c>
      <c r="S48" s="52"/>
      <c r="T48" s="52">
        <f>IF(L48=0,0,N48-stk)</f>
        <v>0</v>
      </c>
      <c r="U48" s="52">
        <f>IF(L48=0,0,N48-vtk)</f>
        <v>0</v>
      </c>
      <c r="W48" s="60">
        <f>W46+Intervall</f>
        <v>0</v>
      </c>
      <c r="X48" s="88">
        <f>IF(m&gt;stoppmengde,0,X46)</f>
        <v>0</v>
      </c>
      <c r="Y48" s="52">
        <f>IF(X48=0,0,X48*_mm2)</f>
        <v>0</v>
      </c>
      <c r="Z48" s="52">
        <f>IF(N48=0,0,N48+Y48)</f>
        <v>0</v>
      </c>
      <c r="AD48" s="75" t="str">
        <f>IF(AU101=0,"",AU101)</f>
        <v/>
      </c>
      <c r="AE48" s="127" t="str">
        <f>IF(AD48="","",AV101)</f>
        <v/>
      </c>
      <c r="AF48" s="127" t="str">
        <f>IF(EP=0,"",IF(AD48="","",BA101))</f>
        <v/>
      </c>
      <c r="AG48" s="74" t="str">
        <f>IF(AZ101=0,"",AZ101)</f>
        <v/>
      </c>
      <c r="AH48" s="74" t="str">
        <f>IF(EFTK=0,"",IF(BE101=0,"",BE101))</f>
        <v/>
      </c>
      <c r="AI48" s="74" t="str">
        <f>IF(AX101=0,"",AX101)</f>
        <v/>
      </c>
      <c r="AJ48" s="74" t="str">
        <f>IF(EVK=0,"",IF(BC101=0,"",BC101))</f>
        <v/>
      </c>
      <c r="AK48" s="74" t="str">
        <f>IF(AW101=0,"",AW101)</f>
        <v/>
      </c>
      <c r="AL48" s="74" t="str">
        <f>IF((EVK+EFTK)=0,"",IF(BB101=0,"",BB101))</f>
        <v/>
      </c>
      <c r="AM48" s="127" t="str">
        <f>IF(mengde3="","",AY101)</f>
        <v/>
      </c>
      <c r="AN48" s="127" t="str">
        <f>IF((EVK+EFTK+EP)=0,"",IF(mengde3="","",BD101))</f>
        <v/>
      </c>
      <c r="AO48" s="127" t="str">
        <f>IF(mengde3="","",BF101)</f>
        <v/>
      </c>
      <c r="AP48" s="131" t="str">
        <f>IF((EVK+EFTK+EP)=0,"",IF(mengde3="","",BG101))</f>
        <v/>
      </c>
    </row>
    <row r="49" spans="1:42" ht="12" customHeight="1">
      <c r="A49" s="60"/>
      <c r="B49" s="88"/>
      <c r="C49" s="53">
        <f>IF(O49=0,0,O49/($W50-$W48))</f>
        <v>0</v>
      </c>
      <c r="D49" s="88"/>
      <c r="E49" s="88"/>
      <c r="F49" s="53"/>
      <c r="G49" s="53"/>
      <c r="H49" s="53">
        <f>IF(S49=0,0,S49/($W50-$W48))</f>
        <v>0</v>
      </c>
      <c r="I49" s="53"/>
      <c r="J49" s="53"/>
      <c r="L49" s="60"/>
      <c r="M49" s="88"/>
      <c r="N49" s="52"/>
      <c r="O49" s="52">
        <f>IF(stoppmengde&lt;=W48,0,N50-N48)</f>
        <v>0</v>
      </c>
      <c r="P49" s="52"/>
      <c r="Q49" s="52"/>
      <c r="R49" s="52"/>
      <c r="S49" s="52">
        <f>IF(stoppmengde&lt;=W48,0,R50-R48)</f>
        <v>0</v>
      </c>
      <c r="T49" s="52"/>
      <c r="U49" s="52"/>
      <c r="W49" s="60"/>
      <c r="X49" s="88"/>
      <c r="Y49" s="52"/>
      <c r="Z49" s="52"/>
      <c r="AD49" s="75"/>
      <c r="AE49" s="127"/>
      <c r="AF49" s="127"/>
      <c r="AG49" s="74"/>
      <c r="AH49" s="74"/>
      <c r="AI49" s="74"/>
      <c r="AJ49" s="74"/>
      <c r="AK49" s="74"/>
      <c r="AL49" s="74"/>
      <c r="AM49" s="127"/>
      <c r="AN49" s="127"/>
      <c r="AO49" s="127"/>
      <c r="AP49" s="131"/>
    </row>
    <row r="50" spans="1:42" ht="12" customHeight="1">
      <c r="A50" s="60">
        <f>L50</f>
        <v>0</v>
      </c>
      <c r="B50" s="88">
        <f>IF(M50=0,0,M50)</f>
        <v>0</v>
      </c>
      <c r="C50" s="53"/>
      <c r="D50" s="88">
        <f>IF(A50=0,0,D48)</f>
        <v>0</v>
      </c>
      <c r="E50" s="88">
        <f>IF(P50=0,0,IF($W50=0,0,P50/$W50))</f>
        <v>0</v>
      </c>
      <c r="F50" s="53">
        <f>IF(Q50=0,0,IF($W50=0,0,Q50/$W50))</f>
        <v>0</v>
      </c>
      <c r="G50" s="53">
        <f>IF(L50=0,F50,E50+F50)</f>
        <v>0</v>
      </c>
      <c r="H50" s="53"/>
      <c r="I50" s="53">
        <f>IF(A50=0,0,T50/mengde2)</f>
        <v>0</v>
      </c>
      <c r="J50" s="53">
        <f>IF(A50=0,0,U50/mengde2)</f>
        <v>0</v>
      </c>
      <c r="L50" s="60">
        <f>IF(W50&lt;=stoppmengde,W50,0)</f>
        <v>0</v>
      </c>
      <c r="M50" s="88">
        <f>IF(m&gt;stoppmengde,0,M48-$E$9)</f>
        <v>0</v>
      </c>
      <c r="N50" s="52">
        <f>IF(m&gt;stoppmengde,0,W50*M50)</f>
        <v>0</v>
      </c>
      <c r="O50" s="52"/>
      <c r="P50" s="52">
        <f>IF(m&gt;stoppmengde,0,FTK)</f>
        <v>0</v>
      </c>
      <c r="Q50" s="52">
        <f>IF(m&gt;stoppmengde,0,IF(Q10=0,IF(R10=0,VEK*m,P10*R10),Q10))</f>
        <v>0</v>
      </c>
      <c r="R50" s="52">
        <f>P50+Q50</f>
        <v>0</v>
      </c>
      <c r="S50" s="52"/>
      <c r="T50" s="52">
        <f>IF(L50=0,0,N50-stk)</f>
        <v>0</v>
      </c>
      <c r="U50" s="52">
        <f>IF(L50=0,0,N50-vtk)</f>
        <v>0</v>
      </c>
      <c r="W50" s="60">
        <f>W48+Intervall</f>
        <v>0</v>
      </c>
      <c r="X50" s="88">
        <f>IF(m&gt;stoppmengde,0,X48)</f>
        <v>0</v>
      </c>
      <c r="Y50" s="52">
        <f>IF(X50=0,0,X50*_mm2)</f>
        <v>0</v>
      </c>
      <c r="Z50" s="52">
        <f>IF(N50=0,0,N50+Y50)</f>
        <v>0</v>
      </c>
      <c r="AD50" s="75" t="str">
        <f>IF(AU102=0,"",AU102)</f>
        <v/>
      </c>
      <c r="AE50" s="127" t="str">
        <f>IF(AD50="","",AV102)</f>
        <v/>
      </c>
      <c r="AF50" s="127" t="str">
        <f>IF(EP=0,"",IF(AD50="","",BA102))</f>
        <v/>
      </c>
      <c r="AG50" s="74" t="str">
        <f>IF(AZ102=0,"",AZ102)</f>
        <v/>
      </c>
      <c r="AH50" s="74" t="str">
        <f>IF(EFTK=0,"",IF(BE102=0,"",BE102))</f>
        <v/>
      </c>
      <c r="AI50" s="74" t="str">
        <f>IF(AX102=0,"",AX102)</f>
        <v/>
      </c>
      <c r="AJ50" s="74" t="str">
        <f>IF(EVK=0,"",IF(BC102=0,"",BC102))</f>
        <v/>
      </c>
      <c r="AK50" s="74" t="str">
        <f>IF(AW102=0,"",AW102)</f>
        <v/>
      </c>
      <c r="AL50" s="74" t="str">
        <f>IF((EVK+EFTK)=0,"",IF(BB102=0,"",BB102))</f>
        <v/>
      </c>
      <c r="AM50" s="127" t="str">
        <f>IF(mengde3="","",AY102)</f>
        <v/>
      </c>
      <c r="AN50" s="127" t="str">
        <f>IF((EVK+EFTK+EP)=0,"",IF(mengde3="","",BD102))</f>
        <v/>
      </c>
      <c r="AO50" s="127" t="str">
        <f>IF(mengde3="","",BF102)</f>
        <v/>
      </c>
      <c r="AP50" s="131" t="str">
        <f>IF((EVK+EFTK+EP)=0,"",IF(mengde3="","",BG102))</f>
        <v/>
      </c>
    </row>
    <row r="51" spans="1:42" ht="12" customHeight="1">
      <c r="A51" s="60"/>
      <c r="B51" s="88"/>
      <c r="C51" s="53">
        <f>IF(O51=0,0,O51/($W52-$W50))</f>
        <v>0</v>
      </c>
      <c r="D51" s="88"/>
      <c r="E51" s="88"/>
      <c r="F51" s="53"/>
      <c r="G51" s="53"/>
      <c r="H51" s="53">
        <f>IF(S51=0,0,S51/($W52-$W50))</f>
        <v>0</v>
      </c>
      <c r="I51" s="53"/>
      <c r="J51" s="53"/>
      <c r="L51" s="60"/>
      <c r="M51" s="88"/>
      <c r="N51" s="52"/>
      <c r="O51" s="52">
        <f>IF(stoppmengde&lt;=W50,0,N52-N50)</f>
        <v>0</v>
      </c>
      <c r="P51" s="52"/>
      <c r="Q51" s="52"/>
      <c r="R51" s="52"/>
      <c r="S51" s="52">
        <f>IF(stoppmengde&lt;=W50,0,R52-R50)</f>
        <v>0</v>
      </c>
      <c r="T51" s="52"/>
      <c r="U51" s="52"/>
      <c r="W51" s="60"/>
      <c r="X51" s="88"/>
      <c r="Y51" s="52"/>
      <c r="Z51" s="52"/>
      <c r="AD51" s="75"/>
      <c r="AE51" s="127"/>
      <c r="AF51" s="127"/>
      <c r="AG51" s="74"/>
      <c r="AH51" s="74"/>
      <c r="AI51" s="74"/>
      <c r="AJ51" s="74"/>
      <c r="AK51" s="74"/>
      <c r="AL51" s="74"/>
      <c r="AM51" s="127"/>
      <c r="AN51" s="127"/>
      <c r="AO51" s="127"/>
      <c r="AP51" s="131"/>
    </row>
    <row r="52" spans="1:42" ht="12" customHeight="1">
      <c r="A52" s="60">
        <f>L52</f>
        <v>0</v>
      </c>
      <c r="B52" s="88">
        <f>IF(M52=0,0,M52)</f>
        <v>0</v>
      </c>
      <c r="C52" s="53"/>
      <c r="D52" s="88">
        <f>IF(A52=0,0,D50)</f>
        <v>0</v>
      </c>
      <c r="E52" s="88">
        <f>IF(P52=0,0,IF($W52=0,0,P52/$W52))</f>
        <v>0</v>
      </c>
      <c r="F52" s="53">
        <f>IF(Q52=0,0,IF($W52=0,0,Q52/$W52))</f>
        <v>0</v>
      </c>
      <c r="G52" s="53">
        <f>IF(L52=0,F52,E52+F52)</f>
        <v>0</v>
      </c>
      <c r="H52" s="53"/>
      <c r="I52" s="53">
        <f>IF(A52=0,0,T52/mengde2)</f>
        <v>0</v>
      </c>
      <c r="J52" s="53">
        <f>IF(A52=0,0,U52/mengde2)</f>
        <v>0</v>
      </c>
      <c r="L52" s="60">
        <f>IF(W52&lt;=stoppmengde,W52,0)</f>
        <v>0</v>
      </c>
      <c r="M52" s="88">
        <f>IF(m&gt;stoppmengde,0,M50-$E$9)</f>
        <v>0</v>
      </c>
      <c r="N52" s="52">
        <f>IF(m&gt;stoppmengde,0,W52*M52)</f>
        <v>0</v>
      </c>
      <c r="O52" s="52"/>
      <c r="P52" s="52">
        <f>IF(m&gt;stoppmengde,0,FTK)</f>
        <v>0</v>
      </c>
      <c r="Q52" s="52">
        <f>IF(m&gt;stoppmengde,0,IF(Q11=0,IF(R11=0,VEK*m,P11*R11),Q11))</f>
        <v>0</v>
      </c>
      <c r="R52" s="52">
        <f>P52+Q52</f>
        <v>0</v>
      </c>
      <c r="S52" s="52"/>
      <c r="T52" s="52">
        <f>IF(L52=0,0,N52-stk)</f>
        <v>0</v>
      </c>
      <c r="U52" s="52">
        <f>IF(L52=0,0,N52-vtk)</f>
        <v>0</v>
      </c>
      <c r="W52" s="60">
        <f>W50+Intervall</f>
        <v>0</v>
      </c>
      <c r="X52" s="88">
        <f>IF(m&gt;stoppmengde,0,X50)</f>
        <v>0</v>
      </c>
      <c r="Y52" s="52">
        <f>IF(X52=0,0,X52*_mm2)</f>
        <v>0</v>
      </c>
      <c r="Z52" s="52">
        <f>IF(N52=0,0,N52+Y52)</f>
        <v>0</v>
      </c>
      <c r="AD52" s="75" t="str">
        <f>IF(AU103=0,"",AU103)</f>
        <v/>
      </c>
      <c r="AE52" s="127" t="str">
        <f>IF(AD52="","",AV103)</f>
        <v/>
      </c>
      <c r="AF52" s="127" t="str">
        <f>IF(EP=0,"",IF(AD52="","",BA103))</f>
        <v/>
      </c>
      <c r="AG52" s="74" t="str">
        <f>IF(AZ103=0,"",AZ103)</f>
        <v/>
      </c>
      <c r="AH52" s="74" t="str">
        <f>IF(EFTK=0,"",IF(BE103=0,"",BE103))</f>
        <v/>
      </c>
      <c r="AI52" s="74" t="str">
        <f>IF(AX103=0,"",AX103)</f>
        <v/>
      </c>
      <c r="AJ52" s="74" t="str">
        <f>IF(EVK=0,"",IF(BC103=0,"",BC103))</f>
        <v/>
      </c>
      <c r="AK52" s="74" t="str">
        <f>IF(AW103=0,"",AW103)</f>
        <v/>
      </c>
      <c r="AL52" s="74" t="str">
        <f>IF((EVK+EFTK)=0,"",IF(BB103=0,"",BB103))</f>
        <v/>
      </c>
      <c r="AM52" s="127" t="str">
        <f>IF(mengde3="","",AY103)</f>
        <v/>
      </c>
      <c r="AN52" s="127" t="str">
        <f>IF((EVK+EFTK+EP)=0,"",IF(mengde3="","",BD103))</f>
        <v/>
      </c>
      <c r="AO52" s="127" t="str">
        <f>IF(mengde3="","",BF103)</f>
        <v/>
      </c>
      <c r="AP52" s="131" t="str">
        <f>IF((EVK+EFTK+EP)=0,"",IF(mengde3="","",BG103))</f>
        <v/>
      </c>
    </row>
    <row r="53" spans="1:42" ht="12" customHeight="1">
      <c r="A53" s="60"/>
      <c r="B53" s="88"/>
      <c r="C53" s="53">
        <f>IF(O53=0,0,O53/($W54-$W52))</f>
        <v>0</v>
      </c>
      <c r="D53" s="88"/>
      <c r="E53" s="88"/>
      <c r="F53" s="53"/>
      <c r="G53" s="53"/>
      <c r="H53" s="53">
        <f>IF(S53=0,0,S53/($W54-$W52))</f>
        <v>0</v>
      </c>
      <c r="I53" s="53"/>
      <c r="J53" s="53"/>
      <c r="L53" s="60"/>
      <c r="M53" s="88"/>
      <c r="N53" s="52"/>
      <c r="O53" s="52">
        <f>IF(stoppmengde&lt;=W52,0,N54-N52)</f>
        <v>0</v>
      </c>
      <c r="P53" s="52"/>
      <c r="Q53" s="52"/>
      <c r="R53" s="52"/>
      <c r="S53" s="52">
        <f>IF(stoppmengde&lt;=W52,0,R54-R52)</f>
        <v>0</v>
      </c>
      <c r="T53" s="52"/>
      <c r="U53" s="52"/>
      <c r="W53" s="60"/>
      <c r="X53" s="88"/>
      <c r="Y53" s="52"/>
      <c r="Z53" s="52"/>
      <c r="AD53" s="75"/>
      <c r="AE53" s="127"/>
      <c r="AF53" s="127"/>
      <c r="AG53" s="74"/>
      <c r="AH53" s="74"/>
      <c r="AI53" s="74"/>
      <c r="AJ53" s="74"/>
      <c r="AK53" s="74"/>
      <c r="AL53" s="74"/>
      <c r="AM53" s="127"/>
      <c r="AN53" s="127"/>
      <c r="AO53" s="127"/>
      <c r="AP53" s="131"/>
    </row>
    <row r="54" spans="1:42" ht="12" customHeight="1">
      <c r="A54" s="60">
        <f>L54</f>
        <v>0</v>
      </c>
      <c r="B54" s="88">
        <f>IF(M54=0,0,M54)</f>
        <v>0</v>
      </c>
      <c r="C54" s="53"/>
      <c r="D54" s="88">
        <f>IF(A54=0,0,D52)</f>
        <v>0</v>
      </c>
      <c r="E54" s="88">
        <f>IF(P54=0,0,IF($W54=0,0,P54/$W54))</f>
        <v>0</v>
      </c>
      <c r="F54" s="53">
        <f>IF(Q54=0,0,IF($W54=0,0,Q54/$W54))</f>
        <v>0</v>
      </c>
      <c r="G54" s="53">
        <f>IF(L54=0,F54,E54+F54)</f>
        <v>0</v>
      </c>
      <c r="H54" s="53"/>
      <c r="I54" s="53">
        <f>IF(A54=0,0,T54/mengde2)</f>
        <v>0</v>
      </c>
      <c r="J54" s="53">
        <f>IF(A54=0,0,U54/mengde2)</f>
        <v>0</v>
      </c>
      <c r="L54" s="60">
        <f>IF(W54&lt;=stoppmengde,W54,0)</f>
        <v>0</v>
      </c>
      <c r="M54" s="88">
        <f>IF(m&gt;stoppmengde,0,M52-$E$9)</f>
        <v>0</v>
      </c>
      <c r="N54" s="52">
        <f>IF(m&gt;stoppmengde,0,W54*M54)</f>
        <v>0</v>
      </c>
      <c r="O54" s="52"/>
      <c r="P54" s="52">
        <f>IF(m&gt;stoppmengde,0,FTK)</f>
        <v>0</v>
      </c>
      <c r="Q54" s="52">
        <f>IF(m&gt;stoppmengde,0,IF(Q12=0,IF(R12=0,VEK*m,P12*R12),Q12))</f>
        <v>0</v>
      </c>
      <c r="R54" s="52">
        <f>P54+Q54</f>
        <v>0</v>
      </c>
      <c r="S54" s="52"/>
      <c r="T54" s="52">
        <f>IF(L54=0,0,N54-stk)</f>
        <v>0</v>
      </c>
      <c r="U54" s="52">
        <f>IF(L54=0,0,N54-vtk)</f>
        <v>0</v>
      </c>
      <c r="W54" s="60">
        <f>W52+Intervall</f>
        <v>0</v>
      </c>
      <c r="X54" s="88">
        <f>IF(m&gt;stoppmengde,0,X52)</f>
        <v>0</v>
      </c>
      <c r="Y54" s="52">
        <f>IF(X54=0,0,X54*_mm2)</f>
        <v>0</v>
      </c>
      <c r="Z54" s="52">
        <f>IF(N54=0,0,N54+Y54)</f>
        <v>0</v>
      </c>
      <c r="AD54" s="75" t="str">
        <f>IF(AU104=0,"",AU104)</f>
        <v/>
      </c>
      <c r="AE54" s="127" t="str">
        <f>IF(AD54="","",AV104)</f>
        <v/>
      </c>
      <c r="AF54" s="127" t="str">
        <f>IF(EP=0,"",IF(AD54="","",BA104))</f>
        <v/>
      </c>
      <c r="AG54" s="74" t="str">
        <f>IF(AZ104=0,"",AZ104)</f>
        <v/>
      </c>
      <c r="AH54" s="74" t="str">
        <f>IF(EFTK=0,"",IF(BE104=0,"",BE104))</f>
        <v/>
      </c>
      <c r="AI54" s="74" t="str">
        <f>IF(AX104=0,"",AX104)</f>
        <v/>
      </c>
      <c r="AJ54" s="74" t="str">
        <f>IF(EVK=0,"",IF(BC104=0,"",BC104))</f>
        <v/>
      </c>
      <c r="AK54" s="74" t="str">
        <f>IF(AW104=0,"",AW104)</f>
        <v/>
      </c>
      <c r="AL54" s="74" t="str">
        <f>IF((EVK+EFTK)=0,"",IF(BB104=0,"",BB104))</f>
        <v/>
      </c>
      <c r="AM54" s="127" t="str">
        <f>IF(mengde3="","",AY104)</f>
        <v/>
      </c>
      <c r="AN54" s="127" t="str">
        <f>IF((EVK+EFTK+EP)=0,"",IF(mengde3="","",BD104))</f>
        <v/>
      </c>
      <c r="AO54" s="127" t="str">
        <f>IF(mengde3="","",BF104)</f>
        <v/>
      </c>
      <c r="AP54" s="131" t="str">
        <f>IF((EVK+EFTK+EP)=0,"",IF(mengde3="","",BG104))</f>
        <v/>
      </c>
    </row>
    <row r="55" spans="1:42" ht="12" customHeight="1">
      <c r="A55" s="60"/>
      <c r="B55" s="88"/>
      <c r="C55" s="53">
        <f>IF(O55=0,0,O55/($W56-$W54))</f>
        <v>0</v>
      </c>
      <c r="D55" s="88"/>
      <c r="E55" s="88"/>
      <c r="F55" s="53"/>
      <c r="G55" s="53"/>
      <c r="H55" s="53">
        <f>IF(S55=0,0,S55/($W56-$W54))</f>
        <v>0</v>
      </c>
      <c r="I55" s="53"/>
      <c r="J55" s="53"/>
      <c r="L55" s="60"/>
      <c r="M55" s="88"/>
      <c r="N55" s="52"/>
      <c r="O55" s="52">
        <f>IF(stoppmengde&lt;=W54,0,N56-N54)</f>
        <v>0</v>
      </c>
      <c r="P55" s="52"/>
      <c r="Q55" s="52"/>
      <c r="R55" s="52"/>
      <c r="S55" s="52">
        <f>IF(stoppmengde&lt;=W54,0,R56-R54)</f>
        <v>0</v>
      </c>
      <c r="T55" s="52"/>
      <c r="U55" s="52"/>
      <c r="W55" s="60"/>
      <c r="X55" s="88"/>
      <c r="Y55" s="52"/>
      <c r="Z55" s="52"/>
      <c r="AD55" s="75"/>
      <c r="AE55" s="127"/>
      <c r="AF55" s="127"/>
      <c r="AG55" s="74"/>
      <c r="AH55" s="74"/>
      <c r="AI55" s="74"/>
      <c r="AJ55" s="74"/>
      <c r="AK55" s="74"/>
      <c r="AL55" s="74"/>
      <c r="AM55" s="127"/>
      <c r="AN55" s="127"/>
      <c r="AO55" s="127"/>
      <c r="AP55" s="131"/>
    </row>
    <row r="56" spans="1:42" ht="12" customHeight="1">
      <c r="A56" s="60">
        <f>L56</f>
        <v>0</v>
      </c>
      <c r="B56" s="88">
        <f>IF(M56=0,0,M56)</f>
        <v>0</v>
      </c>
      <c r="C56" s="53"/>
      <c r="D56" s="88">
        <f>IF(A56=0,0,D54)</f>
        <v>0</v>
      </c>
      <c r="E56" s="88">
        <f>IF(P56=0,0,IF($W56=0,0,P56/$W56))</f>
        <v>0</v>
      </c>
      <c r="F56" s="53">
        <f>IF(Q56=0,0,IF($W56=0,0,Q56/$W56))</f>
        <v>0</v>
      </c>
      <c r="G56" s="53">
        <f>IF(L56=0,F56,E56+F56)</f>
        <v>0</v>
      </c>
      <c r="H56" s="53"/>
      <c r="I56" s="53">
        <f>IF(A56=0,0,T56/mengde2)</f>
        <v>0</v>
      </c>
      <c r="J56" s="53">
        <f>IF(A56=0,0,U56/mengde2)</f>
        <v>0</v>
      </c>
      <c r="L56" s="60">
        <f>IF(W56&lt;=stoppmengde,W56,0)</f>
        <v>0</v>
      </c>
      <c r="M56" s="88">
        <f>IF(m&gt;stoppmengde,0,M54-$E$9)</f>
        <v>0</v>
      </c>
      <c r="N56" s="52">
        <f>IF(m&gt;stoppmengde,0,W56*M56)</f>
        <v>0</v>
      </c>
      <c r="O56" s="52"/>
      <c r="P56" s="52">
        <f>IF(m&gt;stoppmengde,0,FTK)</f>
        <v>0</v>
      </c>
      <c r="Q56" s="52">
        <f>IF(m&gt;stoppmengde,0,IF(Q13=0,IF(R13=0,VEK*m,P13*R13),Q13))</f>
        <v>0</v>
      </c>
      <c r="R56" s="52">
        <f>P56+Q56</f>
        <v>0</v>
      </c>
      <c r="S56" s="52"/>
      <c r="T56" s="52">
        <f>IF(L56=0,0,N56-stk)</f>
        <v>0</v>
      </c>
      <c r="U56" s="52">
        <f>IF(L56=0,0,N56-vtk)</f>
        <v>0</v>
      </c>
      <c r="W56" s="60">
        <f>W54+Intervall</f>
        <v>0</v>
      </c>
      <c r="X56" s="88">
        <f>IF(m&gt;stoppmengde,0,X54)</f>
        <v>0</v>
      </c>
      <c r="Y56" s="52">
        <f>IF(X56=0,0,X56*_mm2)</f>
        <v>0</v>
      </c>
      <c r="Z56" s="52">
        <f>IF(N56=0,0,N56+Y56)</f>
        <v>0</v>
      </c>
      <c r="AD56" s="75" t="str">
        <f>IF(AU105=0,"",AU105)</f>
        <v/>
      </c>
      <c r="AE56" s="127" t="str">
        <f>IF(AD56="","",AV105)</f>
        <v/>
      </c>
      <c r="AF56" s="127" t="str">
        <f>IF(EP=0,"",IF(AD56="","",BA105))</f>
        <v/>
      </c>
      <c r="AG56" s="74" t="str">
        <f>IF(AZ105=0,"",AZ105)</f>
        <v/>
      </c>
      <c r="AH56" s="74" t="str">
        <f>IF(EFTK=0,"",IF(BE105=0,"",BE105))</f>
        <v/>
      </c>
      <c r="AI56" s="74" t="str">
        <f>IF(AX105=0,"",AX105)</f>
        <v/>
      </c>
      <c r="AJ56" s="74" t="str">
        <f>IF(EVK=0,"",IF(BC105=0,"",BC105))</f>
        <v/>
      </c>
      <c r="AK56" s="74" t="str">
        <f>IF(AW105=0,"",AW105)</f>
        <v/>
      </c>
      <c r="AL56" s="74" t="str">
        <f>IF((EVK+EFTK)=0,"",IF(BB105=0,"",BB105))</f>
        <v/>
      </c>
      <c r="AM56" s="127" t="str">
        <f>IF(mengde3="","",AY105)</f>
        <v/>
      </c>
      <c r="AN56" s="127" t="str">
        <f>IF((EVK+EFTK+EP)=0,"",IF(mengde3="","",BD105))</f>
        <v/>
      </c>
      <c r="AO56" s="127" t="str">
        <f>IF(mengde3="","",BF105)</f>
        <v/>
      </c>
      <c r="AP56" s="131" t="str">
        <f>IF((EVK+EFTK+EP)=0,"",IF(mengde3="","",BG105))</f>
        <v/>
      </c>
    </row>
    <row r="57" spans="1:42" ht="12" customHeight="1">
      <c r="A57" s="60"/>
      <c r="B57" s="88"/>
      <c r="C57" s="53">
        <f>IF(O57=0,0,O57/($W58-$W56))</f>
        <v>0</v>
      </c>
      <c r="D57" s="88"/>
      <c r="E57" s="88"/>
      <c r="F57" s="53"/>
      <c r="G57" s="53"/>
      <c r="H57" s="53">
        <f>IF(S57=0,0,S57/($W58-$W56))</f>
        <v>0</v>
      </c>
      <c r="I57" s="53"/>
      <c r="J57" s="53"/>
      <c r="L57" s="60"/>
      <c r="M57" s="88"/>
      <c r="N57" s="52"/>
      <c r="O57" s="52">
        <f>IF(stoppmengde&lt;=W56,0,N58-N56)</f>
        <v>0</v>
      </c>
      <c r="P57" s="52"/>
      <c r="Q57" s="52"/>
      <c r="R57" s="52"/>
      <c r="S57" s="52">
        <f>IF(stoppmengde&lt;=W56,0,R58-R56)</f>
        <v>0</v>
      </c>
      <c r="T57" s="52"/>
      <c r="U57" s="52"/>
      <c r="W57" s="60"/>
      <c r="X57" s="88"/>
      <c r="Y57" s="52"/>
      <c r="Z57" s="52"/>
      <c r="AD57" s="75"/>
      <c r="AE57" s="127"/>
      <c r="AF57" s="127"/>
      <c r="AG57" s="74"/>
      <c r="AH57" s="74"/>
      <c r="AI57" s="74"/>
      <c r="AJ57" s="74"/>
      <c r="AK57" s="74"/>
      <c r="AL57" s="74"/>
      <c r="AM57" s="127"/>
      <c r="AN57" s="127"/>
      <c r="AO57" s="127"/>
      <c r="AP57" s="131"/>
    </row>
    <row r="58" spans="1:42" ht="12" customHeight="1">
      <c r="A58" s="60">
        <f>L58</f>
        <v>0</v>
      </c>
      <c r="B58" s="88">
        <f>IF(M58=0,0,M58)</f>
        <v>0</v>
      </c>
      <c r="C58" s="53"/>
      <c r="D58" s="88">
        <f>IF(A58=0,0,D56)</f>
        <v>0</v>
      </c>
      <c r="E58" s="88">
        <f>IF(P58=0,0,IF($W58=0,0,P58/$W58))</f>
        <v>0</v>
      </c>
      <c r="F58" s="53">
        <f>IF(Q58=0,0,IF($W58=0,0,Q58/$W58))</f>
        <v>0</v>
      </c>
      <c r="G58" s="53">
        <f>IF(L58=0,F58,E58+F58)</f>
        <v>0</v>
      </c>
      <c r="H58" s="53"/>
      <c r="I58" s="53">
        <f>IF(A58=0,0,T58/mengde2)</f>
        <v>0</v>
      </c>
      <c r="J58" s="53">
        <f>IF(A58=0,0,U58/mengde2)</f>
        <v>0</v>
      </c>
      <c r="L58" s="60">
        <f>IF(W58&lt;=stoppmengde,W58,0)</f>
        <v>0</v>
      </c>
      <c r="M58" s="88">
        <f>IF(m&gt;stoppmengde,0,M56-$E$9)</f>
        <v>0</v>
      </c>
      <c r="N58" s="52">
        <f>IF(m&gt;stoppmengde,0,W58*M58)</f>
        <v>0</v>
      </c>
      <c r="O58" s="52"/>
      <c r="P58" s="52">
        <f>IF(m&gt;stoppmengde,0,FTK)</f>
        <v>0</v>
      </c>
      <c r="Q58" s="52">
        <f>IF(m&gt;stoppmengde,0,IF(Q14=0,IF(R14=0,VEK*m,P14*R14),Q14))</f>
        <v>0</v>
      </c>
      <c r="R58" s="52">
        <f>P58+Q58</f>
        <v>0</v>
      </c>
      <c r="S58" s="52"/>
      <c r="T58" s="52">
        <f>IF(L58=0,0,N58-stk)</f>
        <v>0</v>
      </c>
      <c r="U58" s="52">
        <f>IF(L58=0,0,N58-vtk)</f>
        <v>0</v>
      </c>
      <c r="W58" s="60">
        <f>W56+Intervall</f>
        <v>0</v>
      </c>
      <c r="X58" s="88">
        <f>IF(m&gt;stoppmengde,0,X56)</f>
        <v>0</v>
      </c>
      <c r="Y58" s="52">
        <f>IF(X58=0,0,X58*_mm2)</f>
        <v>0</v>
      </c>
      <c r="Z58" s="52">
        <f>IF(N58=0,0,N58+Y58)</f>
        <v>0</v>
      </c>
      <c r="AD58" s="75" t="str">
        <f>IF(AU106=0,"",AU106)</f>
        <v/>
      </c>
      <c r="AE58" s="127" t="str">
        <f>IF(AD58="","",AV106)</f>
        <v/>
      </c>
      <c r="AF58" s="127" t="str">
        <f>IF(EP=0,"",IF(AD58="","",BA106))</f>
        <v/>
      </c>
      <c r="AG58" s="74" t="str">
        <f>IF(AZ106=0,"",AZ106)</f>
        <v/>
      </c>
      <c r="AH58" s="74" t="str">
        <f>IF(EFTK=0,"",IF(BE106=0,"",BE106))</f>
        <v/>
      </c>
      <c r="AI58" s="74" t="str">
        <f>IF(AX106=0,"",AX106)</f>
        <v/>
      </c>
      <c r="AJ58" s="74" t="str">
        <f>IF(EVK=0,"",IF(BC106=0,"",BC106))</f>
        <v/>
      </c>
      <c r="AK58" s="74" t="str">
        <f>IF(AW106=0,"",AW106)</f>
        <v/>
      </c>
      <c r="AL58" s="74" t="str">
        <f>IF((EVK+EFTK)=0,"",IF(BB106=0,"",BB106))</f>
        <v/>
      </c>
      <c r="AM58" s="127" t="str">
        <f>IF(mengde3="","",AY106)</f>
        <v/>
      </c>
      <c r="AN58" s="127" t="str">
        <f>IF((EVK+EFTK+EP)=0,"",IF(mengde3="","",BD106))</f>
        <v/>
      </c>
      <c r="AO58" s="127" t="str">
        <f>IF(mengde3="","",BF106)</f>
        <v/>
      </c>
      <c r="AP58" s="131" t="str">
        <f>IF((EVK+EFTK+EP)=0,"",IF(mengde3="","",BG106))</f>
        <v/>
      </c>
    </row>
    <row r="59" spans="1:42" ht="12" customHeight="1">
      <c r="A59" s="60"/>
      <c r="B59" s="88"/>
      <c r="C59" s="53">
        <f>IF(O59=0,0,O59/($W60-$W58))</f>
        <v>0</v>
      </c>
      <c r="D59" s="88"/>
      <c r="E59" s="88"/>
      <c r="F59" s="53"/>
      <c r="G59" s="53"/>
      <c r="H59" s="53">
        <f>IF(S59=0,0,S59/($W60-$W58))</f>
        <v>0</v>
      </c>
      <c r="I59" s="53"/>
      <c r="J59" s="53"/>
      <c r="L59" s="60"/>
      <c r="M59" s="88"/>
      <c r="N59" s="52"/>
      <c r="O59" s="52">
        <f>IF(stoppmengde&lt;=W58,0,N60-N58)</f>
        <v>0</v>
      </c>
      <c r="P59" s="52"/>
      <c r="Q59" s="52"/>
      <c r="R59" s="52"/>
      <c r="S59" s="52">
        <f>IF(stoppmengde&lt;=W58,0,R60-R58)</f>
        <v>0</v>
      </c>
      <c r="T59" s="52"/>
      <c r="U59" s="52"/>
      <c r="W59" s="60"/>
      <c r="X59" s="88"/>
      <c r="Y59" s="52"/>
      <c r="Z59" s="52"/>
      <c r="AD59" s="75"/>
      <c r="AE59" s="127"/>
      <c r="AF59" s="127"/>
      <c r="AG59" s="74"/>
      <c r="AH59" s="74"/>
      <c r="AI59" s="74"/>
      <c r="AJ59" s="74"/>
      <c r="AK59" s="74"/>
      <c r="AL59" s="74"/>
      <c r="AM59" s="127"/>
      <c r="AN59" s="127"/>
      <c r="AO59" s="127"/>
      <c r="AP59" s="131"/>
    </row>
    <row r="60" spans="1:42" ht="12" customHeight="1">
      <c r="A60" s="60">
        <f>L60</f>
        <v>0</v>
      </c>
      <c r="B60" s="88">
        <f>IF(M60=0,0,M60)</f>
        <v>0</v>
      </c>
      <c r="C60" s="53"/>
      <c r="D60" s="88">
        <f>IF(A60=0,0,D58)</f>
        <v>0</v>
      </c>
      <c r="E60" s="88">
        <f>IF(P60=0,0,IF($W60=0,0,P60/$W60))</f>
        <v>0</v>
      </c>
      <c r="F60" s="53">
        <f>IF(Q60=0,0,IF($W60=0,0,Q60/$W60))</f>
        <v>0</v>
      </c>
      <c r="G60" s="53">
        <f>IF(L60=0,F60,E60+F60)</f>
        <v>0</v>
      </c>
      <c r="H60" s="53"/>
      <c r="I60" s="53">
        <f>IF(A60=0,0,T60/mengde2)</f>
        <v>0</v>
      </c>
      <c r="J60" s="53">
        <f>IF(A60=0,0,U60/mengde2)</f>
        <v>0</v>
      </c>
      <c r="L60" s="60">
        <f>IF(W60&lt;=stoppmengde,W60,0)</f>
        <v>0</v>
      </c>
      <c r="M60" s="88">
        <f>IF(m&gt;stoppmengde,0,M58-$E$9)</f>
        <v>0</v>
      </c>
      <c r="N60" s="52">
        <f>IF(m&gt;stoppmengde,0,W60*M60)</f>
        <v>0</v>
      </c>
      <c r="O60" s="52"/>
      <c r="P60" s="52">
        <f>IF(m&gt;stoppmengde,0,FTK)</f>
        <v>0</v>
      </c>
      <c r="Q60" s="52">
        <f>IF(m&gt;stoppmengde,0,IF(Q15=0,IF(R15=0,VEK*m,P15*R15),Q15))</f>
        <v>0</v>
      </c>
      <c r="R60" s="52">
        <f>P60+Q60</f>
        <v>0</v>
      </c>
      <c r="S60" s="52"/>
      <c r="T60" s="52">
        <f>IF(L60=0,0,N60-stk)</f>
        <v>0</v>
      </c>
      <c r="U60" s="52">
        <f>IF(L60=0,0,N60-vtk)</f>
        <v>0</v>
      </c>
      <c r="W60" s="60">
        <f>W58+Intervall</f>
        <v>0</v>
      </c>
      <c r="X60" s="88">
        <f>IF(m&gt;stoppmengde,0,X58)</f>
        <v>0</v>
      </c>
      <c r="Y60" s="52">
        <f>IF(X60=0,0,X60*_mm2)</f>
        <v>0</v>
      </c>
      <c r="Z60" s="52">
        <f>IF(N60=0,0,N60+Y60)</f>
        <v>0</v>
      </c>
      <c r="AD60" s="75" t="str">
        <f>IF(AU107=0,"",AU107)</f>
        <v/>
      </c>
      <c r="AE60" s="127" t="str">
        <f>IF(AD60="","",AV107)</f>
        <v/>
      </c>
      <c r="AF60" s="127" t="str">
        <f>IF(EP=0,"",IF(AD60="","",BA107))</f>
        <v/>
      </c>
      <c r="AG60" s="74" t="str">
        <f>IF(AZ107=0,"",AZ107)</f>
        <v/>
      </c>
      <c r="AH60" s="74" t="str">
        <f>IF(EFTK=0,"",IF(BE107=0,"",BE107))</f>
        <v/>
      </c>
      <c r="AI60" s="74" t="str">
        <f>IF(AX107=0,"",AX107)</f>
        <v/>
      </c>
      <c r="AJ60" s="74" t="str">
        <f>IF(EVK=0,"",IF(BC107=0,"",BC107))</f>
        <v/>
      </c>
      <c r="AK60" s="74" t="str">
        <f>IF(AW107=0,"",AW107)</f>
        <v/>
      </c>
      <c r="AL60" s="74" t="str">
        <f>IF((EVK+EFTK)=0,"",IF(BB107=0,"",BB107))</f>
        <v/>
      </c>
      <c r="AM60" s="127" t="str">
        <f>IF(mengde3="","",AY107)</f>
        <v/>
      </c>
      <c r="AN60" s="127" t="str">
        <f>IF((EVK+EFTK+EP)=0,"",IF(mengde3="","",BD107))</f>
        <v/>
      </c>
      <c r="AO60" s="127" t="str">
        <f>IF(mengde3="","",BF107)</f>
        <v/>
      </c>
      <c r="AP60" s="131" t="str">
        <f>IF((EVK+EFTK+EP)=0,"",IF(mengde3="","",BG107))</f>
        <v/>
      </c>
    </row>
    <row r="61" spans="1:42" ht="12" customHeight="1">
      <c r="A61" s="60"/>
      <c r="B61" s="88"/>
      <c r="C61" s="88">
        <f>IF(O61=0,0,O61/($W62-$W60))</f>
        <v>0</v>
      </c>
      <c r="D61" s="88"/>
      <c r="E61" s="88"/>
      <c r="F61" s="53"/>
      <c r="G61" s="53"/>
      <c r="H61" s="53">
        <f>IF(S61=0,0,S61/($W62-$W60))</f>
        <v>0</v>
      </c>
      <c r="I61" s="53"/>
      <c r="J61" s="53"/>
      <c r="L61" s="60"/>
      <c r="M61" s="88"/>
      <c r="N61" s="52"/>
      <c r="O61" s="52">
        <f>IF(stoppmengde&lt;=W60,0,N62-N60)</f>
        <v>0</v>
      </c>
      <c r="P61" s="52"/>
      <c r="Q61" s="52"/>
      <c r="R61" s="52"/>
      <c r="S61" s="52">
        <f>IF(stoppmengde&lt;=W60,0,R62-R60)</f>
        <v>0</v>
      </c>
      <c r="T61" s="52"/>
      <c r="U61" s="52"/>
      <c r="W61" s="60"/>
      <c r="X61" s="88"/>
      <c r="Y61" s="52"/>
      <c r="Z61" s="52"/>
      <c r="AD61" s="75"/>
      <c r="AE61" s="127"/>
      <c r="AF61" s="127"/>
      <c r="AG61" s="74"/>
      <c r="AH61" s="74"/>
      <c r="AI61" s="74"/>
      <c r="AJ61" s="74"/>
      <c r="AK61" s="74"/>
      <c r="AL61" s="74"/>
      <c r="AM61" s="127"/>
      <c r="AN61" s="127"/>
      <c r="AO61" s="127"/>
      <c r="AP61" s="131"/>
    </row>
    <row r="62" spans="1:42" ht="12" customHeight="1">
      <c r="A62" s="61">
        <f>L62</f>
        <v>0</v>
      </c>
      <c r="B62" s="89">
        <f>IF(M62=0,0,M62)</f>
        <v>0</v>
      </c>
      <c r="C62" s="91"/>
      <c r="D62" s="91">
        <f>IF(A62=0,0,D60)</f>
        <v>0</v>
      </c>
      <c r="E62" s="91">
        <f>IF(P62=0,0,IF($W62=0,0,P62/$W62))</f>
        <v>0</v>
      </c>
      <c r="F62" s="91">
        <f>IF(Q62=0,0,IF($W62=0,0,Q62/$W62))</f>
        <v>0</v>
      </c>
      <c r="G62" s="92">
        <f>IF(L62=0,F62,E62+F62)</f>
        <v>0</v>
      </c>
      <c r="H62" s="90"/>
      <c r="I62" s="90">
        <f>IF(A62=0,0,T62/mengde2)</f>
        <v>0</v>
      </c>
      <c r="J62" s="90">
        <f>IF(A62=0,0,U62/mengde2)</f>
        <v>0</v>
      </c>
      <c r="L62" s="87">
        <f>IF(W62&lt;=stoppmengde,W62,0)</f>
        <v>0</v>
      </c>
      <c r="M62" s="89">
        <f>IF(m&gt;stoppmengde,0,M60-$E$9)</f>
        <v>0</v>
      </c>
      <c r="N62" s="54">
        <f>IF(m&gt;stoppmengde,0,W62*M62)</f>
        <v>0</v>
      </c>
      <c r="O62" s="54"/>
      <c r="P62" s="54">
        <f>IF(m&gt;stoppmengde,0,FTK)</f>
        <v>0</v>
      </c>
      <c r="Q62" s="87">
        <f>IF(m&gt;stoppmengde,0,IF(Q16=0,IF(R16=0,VEK*m,P16*R16),Q16))</f>
        <v>0</v>
      </c>
      <c r="R62" s="52">
        <f>P62+Q62</f>
        <v>0</v>
      </c>
      <c r="S62" s="54"/>
      <c r="T62" s="87">
        <f>IF(L62=0,0,N62-stk)</f>
        <v>0</v>
      </c>
      <c r="U62" s="54">
        <f>IF(L62=0,0,N62-vtk)</f>
        <v>0</v>
      </c>
      <c r="W62" s="61">
        <f>W60+Intervall</f>
        <v>0</v>
      </c>
      <c r="X62" s="89">
        <f>IF(m&gt;stoppmengde,0,X60)</f>
        <v>0</v>
      </c>
      <c r="Y62" s="87">
        <f>IF(X62=0,0,X62*_mm2)</f>
        <v>0</v>
      </c>
      <c r="Z62" s="54">
        <f>IF(N62=0,0,N62+Y62)</f>
        <v>0</v>
      </c>
      <c r="AD62" s="76" t="str">
        <f>IF(AU108=0,"",AU108)</f>
        <v/>
      </c>
      <c r="AE62" s="128" t="str">
        <f>IF(AD62="","",AV108)</f>
        <v/>
      </c>
      <c r="AF62" s="129" t="str">
        <f>IF(EP=0,"",IF(AD60="","",BA108))</f>
        <v/>
      </c>
      <c r="AG62" s="77" t="str">
        <f>IF(AZ108=0,"",AZ108)</f>
        <v/>
      </c>
      <c r="AH62" s="77" t="str">
        <f>IF(EFTK=0,"",IF(BE108=0,"",BE108))</f>
        <v/>
      </c>
      <c r="AI62" s="77" t="str">
        <f>IF(AX108=0,"",AX108)</f>
        <v/>
      </c>
      <c r="AJ62" s="77" t="str">
        <f>IF(EVK=0,"",IF(BC108=0,"",BC108))</f>
        <v/>
      </c>
      <c r="AK62" s="77" t="str">
        <f>IF(AW108=0,"",AW108)</f>
        <v/>
      </c>
      <c r="AL62" s="77" t="str">
        <f>IF((EVK+EFTK)=0,"",IF(BB108=0,"",BB108))</f>
        <v/>
      </c>
      <c r="AM62" s="128" t="str">
        <f>IF(mengde3="","",AY108)</f>
        <v/>
      </c>
      <c r="AN62" s="128" t="str">
        <f>IF((EVK+EFTK+EP)=0,"",IF(mengde3="","",BD108))</f>
        <v/>
      </c>
      <c r="AO62" s="128" t="str">
        <f>IF(mengde3="","",BF108)</f>
        <v/>
      </c>
      <c r="AP62" s="132" t="str">
        <f>IF((EVK+EFTK+EP)=0,"",IF(mengde3="","",BG108))</f>
        <v/>
      </c>
    </row>
    <row r="63" spans="1:42">
      <c r="A63" s="14"/>
      <c r="B63" s="14"/>
      <c r="C63" s="14"/>
      <c r="D63" s="14"/>
      <c r="E63" s="14"/>
      <c r="F63" s="14"/>
      <c r="G63" s="14"/>
      <c r="H63" s="14"/>
      <c r="I63" s="14"/>
      <c r="J63" s="14"/>
      <c r="K63" s="14"/>
      <c r="L63" s="14"/>
      <c r="M63" s="14"/>
      <c r="N63" s="14"/>
      <c r="O63" s="14"/>
      <c r="P63" s="14"/>
      <c r="Q63" s="14"/>
      <c r="R63" s="14"/>
      <c r="AD63" s="1" t="str">
        <f>IF(A63=0,"",A63)</f>
        <v/>
      </c>
    </row>
    <row r="64" spans="1:42">
      <c r="A64" s="55"/>
      <c r="B64" s="14"/>
      <c r="C64" s="14"/>
      <c r="D64" s="14"/>
      <c r="E64" s="14"/>
      <c r="F64" s="14"/>
      <c r="G64" s="14"/>
      <c r="H64" s="55"/>
      <c r="I64" s="14"/>
      <c r="J64" s="14"/>
      <c r="K64" s="14"/>
      <c r="L64" s="14"/>
      <c r="M64" s="14"/>
      <c r="N64" s="14"/>
      <c r="O64" s="14"/>
      <c r="P64" s="14"/>
      <c r="Q64" s="14"/>
      <c r="R64" s="14"/>
    </row>
    <row r="65" spans="11:18">
      <c r="P65" s="55"/>
      <c r="Q65" s="55"/>
      <c r="R65" s="14"/>
    </row>
    <row r="66" spans="11:18">
      <c r="P66" s="55"/>
      <c r="Q66" s="55"/>
      <c r="R66" s="14"/>
    </row>
    <row r="67" spans="11:18">
      <c r="P67" s="55"/>
      <c r="Q67" s="55"/>
      <c r="R67" s="14"/>
    </row>
    <row r="68" spans="11:18">
      <c r="K68" s="112"/>
      <c r="L68" s="112"/>
      <c r="M68" s="112"/>
      <c r="N68" s="112"/>
      <c r="O68" s="112"/>
      <c r="P68" s="55"/>
      <c r="Q68" s="55"/>
      <c r="R68" s="14"/>
    </row>
    <row r="69" spans="11:18">
      <c r="K69" s="112"/>
      <c r="L69" s="112"/>
      <c r="M69" s="112"/>
      <c r="N69" s="112"/>
      <c r="O69" s="112"/>
      <c r="P69" s="55"/>
      <c r="Q69" s="55"/>
      <c r="R69" s="14"/>
    </row>
    <row r="70" spans="11:18">
      <c r="K70" s="112"/>
      <c r="L70" s="112"/>
      <c r="M70" s="112"/>
      <c r="N70" s="112"/>
      <c r="O70" s="112"/>
      <c r="P70" s="55"/>
      <c r="Q70" s="55"/>
      <c r="R70" s="14"/>
    </row>
    <row r="71" spans="11:18">
      <c r="K71" s="112"/>
      <c r="L71" s="112"/>
      <c r="M71" s="112"/>
      <c r="N71" s="112"/>
      <c r="O71" s="112"/>
      <c r="P71" s="55"/>
      <c r="Q71" s="55"/>
      <c r="R71" s="14"/>
    </row>
    <row r="72" spans="11:18">
      <c r="K72" s="112"/>
      <c r="L72" s="112"/>
      <c r="M72" s="112"/>
      <c r="N72" s="112"/>
      <c r="O72" s="112"/>
      <c r="P72" s="55"/>
      <c r="Q72" s="55"/>
      <c r="R72" s="14"/>
    </row>
    <row r="73" spans="11:18">
      <c r="K73" s="112"/>
      <c r="L73" s="112"/>
      <c r="M73" s="112"/>
      <c r="N73" s="112"/>
      <c r="O73" s="112"/>
      <c r="P73" s="55"/>
      <c r="Q73" s="55"/>
      <c r="R73" s="14"/>
    </row>
    <row r="74" spans="11:18">
      <c r="K74" s="112"/>
      <c r="L74" s="112"/>
      <c r="M74" s="112"/>
      <c r="N74" s="112"/>
      <c r="O74" s="112"/>
      <c r="P74" s="55"/>
      <c r="Q74" s="55"/>
      <c r="R74" s="14"/>
    </row>
    <row r="75" spans="11:18">
      <c r="K75" s="112"/>
      <c r="L75" s="112"/>
      <c r="M75" s="112"/>
      <c r="N75" s="112"/>
      <c r="O75" s="112"/>
      <c r="P75" s="55"/>
      <c r="Q75" s="55"/>
      <c r="R75" s="14"/>
    </row>
    <row r="76" spans="11:18">
      <c r="K76" s="112"/>
      <c r="L76" s="112"/>
      <c r="M76" s="112"/>
      <c r="N76" s="112"/>
      <c r="O76" s="112"/>
      <c r="P76" s="55"/>
      <c r="Q76" s="55"/>
      <c r="R76" s="14"/>
    </row>
    <row r="77" spans="11:18">
      <c r="K77" s="112"/>
      <c r="L77" s="112"/>
      <c r="M77" s="112"/>
      <c r="N77" s="112"/>
      <c r="O77" s="112"/>
      <c r="P77" s="55"/>
      <c r="Q77" s="55"/>
      <c r="R77" s="14"/>
    </row>
    <row r="78" spans="11:18">
      <c r="K78" s="112"/>
      <c r="L78" s="112"/>
      <c r="M78" s="112"/>
      <c r="N78" s="112"/>
      <c r="O78" s="112"/>
      <c r="P78" s="55"/>
      <c r="Q78" s="55"/>
      <c r="R78" s="14"/>
    </row>
    <row r="79" spans="11:18">
      <c r="K79" s="112"/>
      <c r="L79" s="112"/>
      <c r="M79" s="112"/>
      <c r="N79" s="112"/>
      <c r="O79" s="112"/>
      <c r="P79" s="55"/>
      <c r="Q79" s="55"/>
      <c r="R79" s="14"/>
    </row>
    <row r="80" spans="11:18">
      <c r="K80" s="112"/>
      <c r="L80" s="112"/>
      <c r="M80" s="112"/>
      <c r="N80" s="112"/>
      <c r="O80" s="112"/>
      <c r="P80" s="55"/>
      <c r="Q80" s="55"/>
      <c r="R80" s="14"/>
    </row>
    <row r="81" spans="1:83">
      <c r="K81" s="112"/>
      <c r="L81" s="112"/>
      <c r="M81" s="112"/>
      <c r="N81" s="112"/>
      <c r="O81" s="112"/>
      <c r="P81" s="55"/>
      <c r="Q81" s="55"/>
      <c r="R81" s="14"/>
    </row>
    <row r="82" spans="1:83">
      <c r="K82" s="112"/>
      <c r="L82" s="112"/>
      <c r="M82" s="112"/>
      <c r="N82" s="112"/>
      <c r="O82" s="112"/>
      <c r="P82" s="55"/>
      <c r="Q82" s="55"/>
      <c r="R82" s="14"/>
    </row>
    <row r="83" spans="1:83">
      <c r="K83" s="112"/>
      <c r="L83" s="112"/>
      <c r="M83" s="112"/>
      <c r="N83" s="112"/>
      <c r="O83" s="112"/>
      <c r="P83" s="55"/>
      <c r="Q83" s="55"/>
      <c r="R83" s="14"/>
    </row>
    <row r="84" spans="1:83">
      <c r="K84" s="112"/>
      <c r="L84" s="112"/>
      <c r="M84" s="112"/>
      <c r="N84" s="112"/>
      <c r="O84" s="112"/>
      <c r="P84" s="55"/>
      <c r="Q84" s="55"/>
      <c r="R84" s="14"/>
    </row>
    <row r="85" spans="1:83">
      <c r="K85" s="112"/>
      <c r="L85" s="112"/>
      <c r="M85" s="112"/>
      <c r="N85" s="112"/>
      <c r="O85" s="112"/>
      <c r="P85" s="55"/>
      <c r="Q85" s="55"/>
      <c r="R85" s="14"/>
    </row>
    <row r="86" spans="1:83">
      <c r="K86" s="112"/>
      <c r="L86" s="112"/>
      <c r="M86" s="112"/>
      <c r="N86" s="112"/>
      <c r="O86" s="112"/>
      <c r="P86" s="55"/>
      <c r="Q86" s="55"/>
      <c r="R86" s="14"/>
    </row>
    <row r="87" spans="1:83">
      <c r="K87" s="112"/>
      <c r="L87" s="112"/>
      <c r="M87" s="112"/>
      <c r="N87" s="112"/>
      <c r="O87" s="112"/>
      <c r="P87" s="55"/>
      <c r="Q87" s="55"/>
      <c r="R87" s="14"/>
    </row>
    <row r="88" spans="1:83">
      <c r="K88" s="112"/>
      <c r="L88" s="112"/>
      <c r="M88" s="112"/>
      <c r="N88" s="112"/>
      <c r="O88" s="112"/>
      <c r="P88" s="55"/>
      <c r="Q88" s="55"/>
      <c r="R88" s="14"/>
    </row>
    <row r="89" spans="1:83">
      <c r="A89" s="14"/>
      <c r="B89" s="14"/>
      <c r="C89" s="14"/>
      <c r="D89" s="14"/>
      <c r="E89" s="14"/>
      <c r="F89" s="14"/>
      <c r="G89" s="14"/>
      <c r="H89" s="14"/>
      <c r="I89" s="14"/>
      <c r="J89" s="14"/>
      <c r="K89" s="14"/>
      <c r="L89" s="14"/>
      <c r="M89" s="14"/>
      <c r="N89" s="14"/>
      <c r="O89" s="14"/>
      <c r="P89" s="14"/>
      <c r="Q89" s="14"/>
      <c r="R89" s="14"/>
    </row>
    <row r="90" spans="1:83">
      <c r="A90" s="14"/>
      <c r="B90" s="14"/>
      <c r="C90" s="14"/>
      <c r="D90" s="14"/>
      <c r="E90" s="14"/>
      <c r="F90" s="14"/>
      <c r="G90" s="14"/>
      <c r="H90" s="14"/>
      <c r="I90" s="14"/>
      <c r="J90" s="14"/>
      <c r="K90" s="14"/>
      <c r="L90" s="14"/>
      <c r="M90" s="14"/>
      <c r="N90" s="14"/>
      <c r="O90" s="14"/>
      <c r="P90" s="14"/>
      <c r="Q90" s="14"/>
      <c r="R90" s="14"/>
    </row>
    <row r="91" spans="1:83">
      <c r="A91" s="14"/>
      <c r="B91" s="14"/>
      <c r="C91" s="14"/>
      <c r="D91" s="14"/>
      <c r="E91" s="14"/>
      <c r="F91" s="14"/>
      <c r="G91" s="14"/>
      <c r="H91" s="14"/>
      <c r="I91" s="14"/>
      <c r="J91" s="14"/>
      <c r="K91" s="14"/>
      <c r="L91" s="14"/>
      <c r="M91" s="14"/>
      <c r="N91" s="14"/>
      <c r="O91" s="14"/>
      <c r="P91" s="14"/>
      <c r="Q91" s="14"/>
      <c r="R91" s="14"/>
    </row>
    <row r="92" spans="1:83">
      <c r="A92" s="14"/>
      <c r="B92" s="14"/>
      <c r="C92" s="14"/>
      <c r="D92" s="14"/>
      <c r="E92" s="14"/>
      <c r="F92" s="14"/>
      <c r="G92" s="14"/>
      <c r="H92" s="14"/>
      <c r="I92" s="14"/>
      <c r="J92" s="14"/>
      <c r="K92" s="14"/>
      <c r="L92" s="14"/>
      <c r="M92" s="14"/>
      <c r="N92" s="14"/>
      <c r="O92" s="14"/>
      <c r="P92" s="14"/>
      <c r="Q92" s="14"/>
      <c r="R92" s="14"/>
    </row>
    <row r="93" spans="1:83">
      <c r="A93" s="14"/>
      <c r="B93" s="14"/>
      <c r="C93" s="14"/>
      <c r="D93" s="14"/>
      <c r="E93" s="14"/>
      <c r="F93" s="14"/>
      <c r="G93" s="14"/>
      <c r="H93" s="14"/>
      <c r="I93" s="14"/>
      <c r="J93" s="14"/>
      <c r="K93" s="14"/>
      <c r="L93" s="14"/>
      <c r="M93" s="14"/>
      <c r="N93" s="14"/>
      <c r="O93" s="14"/>
      <c r="P93" s="14"/>
      <c r="Q93" s="14"/>
      <c r="R93" s="14"/>
    </row>
    <row r="94" spans="1:83">
      <c r="A94" s="14"/>
      <c r="B94" s="14"/>
      <c r="C94" s="14"/>
      <c r="D94" s="14"/>
      <c r="E94" s="14"/>
      <c r="F94" s="14"/>
      <c r="G94" s="14"/>
      <c r="H94" s="14"/>
      <c r="I94" s="14"/>
      <c r="J94" s="14"/>
      <c r="K94" s="14"/>
      <c r="L94" s="14"/>
      <c r="M94" s="14"/>
      <c r="N94" s="14"/>
      <c r="O94" s="14"/>
      <c r="P94" s="14"/>
      <c r="Q94" s="14"/>
      <c r="R94" s="14"/>
    </row>
    <row r="95" spans="1:83">
      <c r="A95" s="14"/>
      <c r="B95" s="14"/>
      <c r="C95" s="14"/>
      <c r="D95" s="14"/>
      <c r="E95" s="14"/>
      <c r="F95" s="14"/>
      <c r="G95" s="14"/>
      <c r="H95" s="14"/>
      <c r="I95" s="14"/>
      <c r="J95" s="14"/>
      <c r="K95" s="14"/>
      <c r="L95" s="14"/>
      <c r="M95" s="14"/>
      <c r="N95" s="14"/>
      <c r="O95" s="14"/>
      <c r="P95" s="14"/>
      <c r="Q95" s="14"/>
      <c r="R95" s="14"/>
    </row>
    <row r="96" spans="1:83">
      <c r="A96" s="14"/>
      <c r="B96" s="14"/>
      <c r="C96" s="14"/>
      <c r="D96" s="14"/>
      <c r="E96" s="14"/>
      <c r="F96" s="14"/>
      <c r="G96" s="14"/>
      <c r="H96" s="14"/>
      <c r="I96" s="14"/>
      <c r="J96" s="14"/>
      <c r="K96" s="14"/>
      <c r="L96" s="14"/>
      <c r="M96" s="14"/>
      <c r="N96" s="14"/>
      <c r="O96" s="14"/>
      <c r="P96" s="14"/>
      <c r="Q96" s="14"/>
      <c r="R96" s="14"/>
      <c r="AT96" s="2"/>
      <c r="AU96" s="102" t="s">
        <v>34</v>
      </c>
      <c r="AV96" s="103"/>
      <c r="AW96" s="103"/>
      <c r="AX96" s="103"/>
      <c r="AY96" s="103"/>
      <c r="AZ96" s="103"/>
      <c r="BA96" s="103"/>
      <c r="BB96" s="103"/>
      <c r="BC96" s="103"/>
      <c r="BD96" s="103"/>
      <c r="BE96" s="103"/>
      <c r="BF96" s="103"/>
      <c r="BG96" s="110"/>
      <c r="BH96" s="118"/>
      <c r="BI96" s="103"/>
      <c r="BJ96" s="119"/>
      <c r="CD96" s="8" t="s">
        <v>32</v>
      </c>
      <c r="CE96" s="8"/>
    </row>
    <row r="97" spans="1:83" ht="13.5" thickBot="1">
      <c r="A97" s="14"/>
      <c r="B97" s="14"/>
      <c r="C97" s="14"/>
      <c r="D97" s="14"/>
      <c r="E97" s="14"/>
      <c r="F97" s="14"/>
      <c r="G97" s="14"/>
      <c r="H97" s="14"/>
      <c r="I97" s="14"/>
      <c r="J97" s="14"/>
      <c r="K97" s="14"/>
      <c r="L97" s="14"/>
      <c r="M97" s="14"/>
      <c r="N97" s="14"/>
      <c r="O97" s="14"/>
      <c r="P97" s="14"/>
      <c r="Q97" s="14"/>
      <c r="R97" s="14"/>
      <c r="AT97" s="2"/>
      <c r="AU97" s="11" t="str">
        <f>IF(W41="","",W41)</f>
        <v>Mengde</v>
      </c>
      <c r="AV97" s="11" t="s">
        <v>87</v>
      </c>
      <c r="AW97" s="69" t="s">
        <v>88</v>
      </c>
      <c r="AX97" s="11" t="s">
        <v>89</v>
      </c>
      <c r="AY97" s="11" t="s">
        <v>22</v>
      </c>
      <c r="AZ97" s="11" t="s">
        <v>90</v>
      </c>
      <c r="BA97" s="11" t="s">
        <v>43</v>
      </c>
      <c r="BB97" s="68" t="s">
        <v>91</v>
      </c>
      <c r="BC97" s="11" t="s">
        <v>92</v>
      </c>
      <c r="BD97" s="69" t="s">
        <v>41</v>
      </c>
      <c r="BE97" s="11" t="s">
        <v>93</v>
      </c>
      <c r="BF97" s="71" t="s">
        <v>28</v>
      </c>
      <c r="BG97" s="93" t="s">
        <v>48</v>
      </c>
      <c r="BH97" s="68" t="str">
        <f>IF(AF40="","",("Inntekt "&amp;AE121))</f>
        <v>Inntekt hjemme</v>
      </c>
      <c r="BI97" s="11" t="s">
        <v>42</v>
      </c>
      <c r="BJ97" s="69" t="str">
        <f>IF(AF40="","",("Inntekt "&amp;AI121))</f>
        <v>Inntekt utlandet</v>
      </c>
      <c r="CD97" s="9" t="s">
        <v>33</v>
      </c>
      <c r="CE97" s="9"/>
    </row>
    <row r="98" spans="1:83">
      <c r="A98" s="14"/>
      <c r="B98" s="14"/>
      <c r="C98" s="14"/>
      <c r="D98" s="14"/>
      <c r="E98" s="14"/>
      <c r="F98" s="14"/>
      <c r="G98" s="14"/>
      <c r="H98" s="14"/>
      <c r="I98" s="14"/>
      <c r="J98" s="14"/>
      <c r="K98" s="14"/>
      <c r="L98" s="14"/>
      <c r="M98" s="14"/>
      <c r="N98" s="14"/>
      <c r="O98" s="14"/>
      <c r="P98" s="14"/>
      <c r="Q98" s="14"/>
      <c r="R98" s="14"/>
      <c r="AT98" s="2"/>
      <c r="AU98" s="63">
        <f>IF(L42="","",L42)</f>
        <v>0</v>
      </c>
      <c r="AV98" s="62">
        <f>BH98</f>
        <v>0</v>
      </c>
      <c r="AW98" s="70">
        <f t="shared" ref="AW98:AW108" si="1">AZ98+AX98</f>
        <v>0</v>
      </c>
      <c r="AX98" s="62">
        <f>IF(Q42="",0,Q42)</f>
        <v>0</v>
      </c>
      <c r="AY98" s="63">
        <f t="shared" ref="AY98:AY108" si="2">+AV98-AW98</f>
        <v>0</v>
      </c>
      <c r="AZ98" s="63">
        <f>FTK</f>
        <v>0</v>
      </c>
      <c r="BA98" s="62">
        <f>BI98</f>
        <v>0</v>
      </c>
      <c r="BB98" s="64">
        <f t="shared" ref="BB98:BB108" si="3">BE98+BC98</f>
        <v>0</v>
      </c>
      <c r="BC98" s="67">
        <f t="shared" ref="BC98:BC108" si="4">AX98+EVK*AU98</f>
        <v>0</v>
      </c>
      <c r="BD98" s="63">
        <f t="shared" ref="BD98:BD108" si="5">BA98-BB98</f>
        <v>0</v>
      </c>
      <c r="BE98" s="67">
        <f>AZ98+EFTK</f>
        <v>0</v>
      </c>
      <c r="BF98" s="72">
        <f t="shared" ref="BF98:BF108" si="6">AV98-AX98</f>
        <v>0</v>
      </c>
      <c r="BG98" s="94">
        <f t="shared" ref="BG98:BG108" si="7">BA98-BC98</f>
        <v>0</v>
      </c>
      <c r="BH98" s="62">
        <f t="shared" ref="BH98:BH108" si="8">AU98*AV112</f>
        <v>0</v>
      </c>
      <c r="BI98" s="62">
        <f t="shared" ref="BI98:BI108" si="9">BH98+EP*AU98</f>
        <v>0</v>
      </c>
      <c r="BJ98" s="62">
        <f>IF(AU98=0,0,BA112*_mm2)</f>
        <v>0</v>
      </c>
      <c r="CD98" s="10">
        <f t="shared" ref="CD98:CD108" si="10">IF(AY98&lt;&gt;$E$23,0,AU98)</f>
        <v>0</v>
      </c>
      <c r="CE98" s="10">
        <f t="shared" ref="CE98:CE108" si="11">IF(CD98=0,0,1)</f>
        <v>0</v>
      </c>
    </row>
    <row r="99" spans="1:83">
      <c r="A99" s="14"/>
      <c r="B99" s="14"/>
      <c r="C99" s="14"/>
      <c r="D99" s="14"/>
      <c r="E99" s="14"/>
      <c r="F99" s="14"/>
      <c r="G99" s="14"/>
      <c r="H99" s="14"/>
      <c r="I99" s="14"/>
      <c r="J99" s="14"/>
      <c r="K99" s="14"/>
      <c r="L99" s="14"/>
      <c r="M99" s="14"/>
      <c r="N99" s="14"/>
      <c r="O99" s="14"/>
      <c r="P99" s="14"/>
      <c r="Q99" s="14"/>
      <c r="R99" s="14"/>
      <c r="AT99" s="2"/>
      <c r="AU99" s="63">
        <f>IF(L44="",0,L44)</f>
        <v>0</v>
      </c>
      <c r="AV99" s="62">
        <f t="shared" ref="AV99:AV108" si="12">BH99</f>
        <v>0</v>
      </c>
      <c r="AW99" s="70">
        <f t="shared" si="1"/>
        <v>0</v>
      </c>
      <c r="AX99" s="62">
        <f>IF(Q44="",0,Q44)</f>
        <v>0</v>
      </c>
      <c r="AY99" s="63">
        <f t="shared" si="2"/>
        <v>0</v>
      </c>
      <c r="AZ99" s="63">
        <f t="shared" ref="AZ99:AZ108" si="13">IF(AU99=0,0,FTK)</f>
        <v>0</v>
      </c>
      <c r="BA99" s="62">
        <f t="shared" ref="BA99:BA108" si="14">BI99</f>
        <v>0</v>
      </c>
      <c r="BB99" s="64">
        <f t="shared" si="3"/>
        <v>0</v>
      </c>
      <c r="BC99" s="63">
        <f t="shared" si="4"/>
        <v>0</v>
      </c>
      <c r="BD99" s="63">
        <f t="shared" si="5"/>
        <v>0</v>
      </c>
      <c r="BE99" s="63">
        <f t="shared" ref="BE99:BE108" si="15">IF(AU99=0,0,AZ99+EFTK)</f>
        <v>0</v>
      </c>
      <c r="BF99" s="72">
        <f t="shared" si="6"/>
        <v>0</v>
      </c>
      <c r="BG99" s="94">
        <f t="shared" si="7"/>
        <v>0</v>
      </c>
      <c r="BH99" s="62">
        <f t="shared" si="8"/>
        <v>0</v>
      </c>
      <c r="BI99" s="62">
        <f t="shared" si="9"/>
        <v>0</v>
      </c>
      <c r="BJ99" s="62">
        <f t="shared" ref="BJ99:BJ108" si="16">IF(AU99=0,0,BA113*_mm2)</f>
        <v>0</v>
      </c>
      <c r="CD99" s="10">
        <f t="shared" si="10"/>
        <v>0</v>
      </c>
      <c r="CE99" s="10">
        <f t="shared" si="11"/>
        <v>0</v>
      </c>
    </row>
    <row r="100" spans="1:83">
      <c r="A100" s="14"/>
      <c r="B100" s="14"/>
      <c r="C100" s="14"/>
      <c r="D100" s="14"/>
      <c r="E100" s="14"/>
      <c r="F100" s="14"/>
      <c r="G100" s="14"/>
      <c r="H100" s="14"/>
      <c r="I100" s="14"/>
      <c r="J100" s="14"/>
      <c r="K100" s="14"/>
      <c r="L100" s="14"/>
      <c r="M100" s="14"/>
      <c r="N100" s="14"/>
      <c r="O100" s="14"/>
      <c r="P100" s="14"/>
      <c r="Q100" s="14"/>
      <c r="R100" s="14"/>
      <c r="AT100" s="2"/>
      <c r="AU100" s="63">
        <f>IF(L46="",0,L46)</f>
        <v>0</v>
      </c>
      <c r="AV100" s="62">
        <f t="shared" si="12"/>
        <v>0</v>
      </c>
      <c r="AW100" s="70">
        <f t="shared" si="1"/>
        <v>0</v>
      </c>
      <c r="AX100" s="62">
        <f>IF(Q46="",0,Q46)</f>
        <v>0</v>
      </c>
      <c r="AY100" s="63">
        <f t="shared" si="2"/>
        <v>0</v>
      </c>
      <c r="AZ100" s="63">
        <f t="shared" si="13"/>
        <v>0</v>
      </c>
      <c r="BA100" s="62">
        <f t="shared" si="14"/>
        <v>0</v>
      </c>
      <c r="BB100" s="64">
        <f t="shared" si="3"/>
        <v>0</v>
      </c>
      <c r="BC100" s="63">
        <f t="shared" si="4"/>
        <v>0</v>
      </c>
      <c r="BD100" s="63">
        <f t="shared" si="5"/>
        <v>0</v>
      </c>
      <c r="BE100" s="63">
        <f t="shared" si="15"/>
        <v>0</v>
      </c>
      <c r="BF100" s="72">
        <f t="shared" si="6"/>
        <v>0</v>
      </c>
      <c r="BG100" s="94">
        <f t="shared" si="7"/>
        <v>0</v>
      </c>
      <c r="BH100" s="62">
        <f t="shared" si="8"/>
        <v>0</v>
      </c>
      <c r="BI100" s="62">
        <f t="shared" si="9"/>
        <v>0</v>
      </c>
      <c r="BJ100" s="62">
        <f t="shared" si="16"/>
        <v>0</v>
      </c>
      <c r="CD100" s="10">
        <f t="shared" si="10"/>
        <v>0</v>
      </c>
      <c r="CE100" s="10">
        <f t="shared" si="11"/>
        <v>0</v>
      </c>
    </row>
    <row r="101" spans="1:83">
      <c r="A101" s="14"/>
      <c r="B101" s="14"/>
      <c r="C101" s="14"/>
      <c r="D101" s="14"/>
      <c r="E101" s="14"/>
      <c r="F101" s="14"/>
      <c r="G101" s="14"/>
      <c r="H101" s="14"/>
      <c r="I101" s="14"/>
      <c r="J101" s="14"/>
      <c r="K101" s="14"/>
      <c r="L101" s="14"/>
      <c r="M101" s="14"/>
      <c r="N101" s="14"/>
      <c r="O101" s="14"/>
      <c r="P101" s="14"/>
      <c r="Q101" s="14"/>
      <c r="R101" s="14"/>
      <c r="AT101" s="2"/>
      <c r="AU101" s="63">
        <f>IF(L48="",0,L48)</f>
        <v>0</v>
      </c>
      <c r="AV101" s="62">
        <f t="shared" si="12"/>
        <v>0</v>
      </c>
      <c r="AW101" s="70">
        <f t="shared" si="1"/>
        <v>0</v>
      </c>
      <c r="AX101" s="62">
        <f>IF(Q48="",0,Q48)</f>
        <v>0</v>
      </c>
      <c r="AY101" s="63">
        <f t="shared" si="2"/>
        <v>0</v>
      </c>
      <c r="AZ101" s="63">
        <f t="shared" si="13"/>
        <v>0</v>
      </c>
      <c r="BA101" s="62">
        <f t="shared" si="14"/>
        <v>0</v>
      </c>
      <c r="BB101" s="64">
        <f t="shared" si="3"/>
        <v>0</v>
      </c>
      <c r="BC101" s="63">
        <f t="shared" si="4"/>
        <v>0</v>
      </c>
      <c r="BD101" s="63">
        <f t="shared" si="5"/>
        <v>0</v>
      </c>
      <c r="BE101" s="63">
        <f t="shared" si="15"/>
        <v>0</v>
      </c>
      <c r="BF101" s="72">
        <f t="shared" si="6"/>
        <v>0</v>
      </c>
      <c r="BG101" s="94">
        <f t="shared" si="7"/>
        <v>0</v>
      </c>
      <c r="BH101" s="62">
        <f t="shared" si="8"/>
        <v>0</v>
      </c>
      <c r="BI101" s="62">
        <f t="shared" si="9"/>
        <v>0</v>
      </c>
      <c r="BJ101" s="62">
        <f t="shared" si="16"/>
        <v>0</v>
      </c>
      <c r="CD101" s="10">
        <f t="shared" si="10"/>
        <v>0</v>
      </c>
      <c r="CE101" s="10">
        <f t="shared" si="11"/>
        <v>0</v>
      </c>
    </row>
    <row r="102" spans="1:83">
      <c r="A102" s="14"/>
      <c r="B102" s="14"/>
      <c r="C102" s="14"/>
      <c r="D102" s="14"/>
      <c r="E102" s="14"/>
      <c r="F102" s="14"/>
      <c r="G102" s="14"/>
      <c r="H102" s="14"/>
      <c r="I102" s="14"/>
      <c r="J102" s="14"/>
      <c r="K102" s="14"/>
      <c r="L102" s="14"/>
      <c r="M102" s="14"/>
      <c r="N102" s="14"/>
      <c r="O102" s="14"/>
      <c r="P102" s="14"/>
      <c r="Q102" s="14"/>
      <c r="R102" s="14"/>
      <c r="AD102" s="2"/>
      <c r="AQ102" s="2"/>
      <c r="AR102" s="2"/>
      <c r="AS102" s="2"/>
      <c r="AT102" s="2"/>
      <c r="AU102" s="63">
        <f>IF(L50="",0,L50)</f>
        <v>0</v>
      </c>
      <c r="AV102" s="62">
        <f t="shared" si="12"/>
        <v>0</v>
      </c>
      <c r="AW102" s="70">
        <f t="shared" si="1"/>
        <v>0</v>
      </c>
      <c r="AX102" s="62">
        <f>IF(Q50="",0,Q50)</f>
        <v>0</v>
      </c>
      <c r="AY102" s="63">
        <f t="shared" si="2"/>
        <v>0</v>
      </c>
      <c r="AZ102" s="63">
        <f t="shared" si="13"/>
        <v>0</v>
      </c>
      <c r="BA102" s="62">
        <f t="shared" si="14"/>
        <v>0</v>
      </c>
      <c r="BB102" s="64">
        <f t="shared" si="3"/>
        <v>0</v>
      </c>
      <c r="BC102" s="63">
        <f t="shared" si="4"/>
        <v>0</v>
      </c>
      <c r="BD102" s="63">
        <f t="shared" si="5"/>
        <v>0</v>
      </c>
      <c r="BE102" s="63">
        <f t="shared" si="15"/>
        <v>0</v>
      </c>
      <c r="BF102" s="72">
        <f t="shared" si="6"/>
        <v>0</v>
      </c>
      <c r="BG102" s="94">
        <f t="shared" si="7"/>
        <v>0</v>
      </c>
      <c r="BH102" s="62">
        <f t="shared" si="8"/>
        <v>0</v>
      </c>
      <c r="BI102" s="62">
        <f t="shared" si="9"/>
        <v>0</v>
      </c>
      <c r="BJ102" s="62">
        <f t="shared" si="16"/>
        <v>0</v>
      </c>
      <c r="CD102" s="10">
        <f t="shared" si="10"/>
        <v>0</v>
      </c>
      <c r="CE102" s="10">
        <f t="shared" si="11"/>
        <v>0</v>
      </c>
    </row>
    <row r="103" spans="1:83">
      <c r="A103" s="14"/>
      <c r="B103" s="14"/>
      <c r="C103" s="14"/>
      <c r="D103" s="14"/>
      <c r="E103" s="14"/>
      <c r="F103" s="14"/>
      <c r="G103" s="14"/>
      <c r="H103" s="14"/>
      <c r="I103" s="14"/>
      <c r="J103" s="14"/>
      <c r="K103" s="14"/>
      <c r="L103" s="14"/>
      <c r="M103" s="14"/>
      <c r="N103" s="14"/>
      <c r="O103" s="14"/>
      <c r="P103" s="14"/>
      <c r="Q103" s="14"/>
      <c r="R103" s="14"/>
      <c r="AD103" s="2"/>
      <c r="AQ103" s="2"/>
      <c r="AR103" s="2"/>
      <c r="AS103" s="2"/>
      <c r="AT103" s="2"/>
      <c r="AU103" s="63">
        <f>IF(L52="",0,L52)</f>
        <v>0</v>
      </c>
      <c r="AV103" s="62">
        <f t="shared" si="12"/>
        <v>0</v>
      </c>
      <c r="AW103" s="70">
        <f t="shared" si="1"/>
        <v>0</v>
      </c>
      <c r="AX103" s="62">
        <f>IF(Q52="",0,Q52)</f>
        <v>0</v>
      </c>
      <c r="AY103" s="63">
        <f t="shared" si="2"/>
        <v>0</v>
      </c>
      <c r="AZ103" s="63">
        <f t="shared" si="13"/>
        <v>0</v>
      </c>
      <c r="BA103" s="62">
        <f t="shared" si="14"/>
        <v>0</v>
      </c>
      <c r="BB103" s="64">
        <f t="shared" si="3"/>
        <v>0</v>
      </c>
      <c r="BC103" s="63">
        <f t="shared" si="4"/>
        <v>0</v>
      </c>
      <c r="BD103" s="63">
        <f t="shared" si="5"/>
        <v>0</v>
      </c>
      <c r="BE103" s="63">
        <f t="shared" si="15"/>
        <v>0</v>
      </c>
      <c r="BF103" s="72">
        <f t="shared" si="6"/>
        <v>0</v>
      </c>
      <c r="BG103" s="94">
        <f t="shared" si="7"/>
        <v>0</v>
      </c>
      <c r="BH103" s="62">
        <f t="shared" si="8"/>
        <v>0</v>
      </c>
      <c r="BI103" s="62">
        <f t="shared" si="9"/>
        <v>0</v>
      </c>
      <c r="BJ103" s="62">
        <f t="shared" si="16"/>
        <v>0</v>
      </c>
      <c r="CD103" s="10">
        <f t="shared" si="10"/>
        <v>0</v>
      </c>
      <c r="CE103" s="10">
        <f t="shared" si="11"/>
        <v>0</v>
      </c>
    </row>
    <row r="104" spans="1:83">
      <c r="A104" s="14"/>
      <c r="B104" s="14"/>
      <c r="C104" s="14"/>
      <c r="D104" s="14"/>
      <c r="E104" s="14"/>
      <c r="F104" s="14"/>
      <c r="G104" s="14"/>
      <c r="H104" s="14"/>
      <c r="I104" s="14"/>
      <c r="J104" s="14"/>
      <c r="K104" s="14"/>
      <c r="L104" s="14"/>
      <c r="M104" s="14"/>
      <c r="N104" s="14"/>
      <c r="O104" s="14"/>
      <c r="P104" s="14"/>
      <c r="Q104" s="14"/>
      <c r="R104" s="14"/>
      <c r="AD104" s="2"/>
      <c r="AQ104" s="2"/>
      <c r="AR104" s="2"/>
      <c r="AS104" s="2"/>
      <c r="AT104" s="2"/>
      <c r="AU104" s="63">
        <f>IF(L54="",0,L54)</f>
        <v>0</v>
      </c>
      <c r="AV104" s="62">
        <f t="shared" si="12"/>
        <v>0</v>
      </c>
      <c r="AW104" s="70">
        <f t="shared" si="1"/>
        <v>0</v>
      </c>
      <c r="AX104" s="62">
        <f>IF(Q54="",0,Q54)</f>
        <v>0</v>
      </c>
      <c r="AY104" s="63">
        <f t="shared" si="2"/>
        <v>0</v>
      </c>
      <c r="AZ104" s="63">
        <f t="shared" si="13"/>
        <v>0</v>
      </c>
      <c r="BA104" s="62">
        <f t="shared" si="14"/>
        <v>0</v>
      </c>
      <c r="BB104" s="64">
        <f t="shared" si="3"/>
        <v>0</v>
      </c>
      <c r="BC104" s="63">
        <f t="shared" si="4"/>
        <v>0</v>
      </c>
      <c r="BD104" s="63">
        <f t="shared" si="5"/>
        <v>0</v>
      </c>
      <c r="BE104" s="63">
        <f t="shared" si="15"/>
        <v>0</v>
      </c>
      <c r="BF104" s="72">
        <f t="shared" si="6"/>
        <v>0</v>
      </c>
      <c r="BG104" s="94">
        <f t="shared" si="7"/>
        <v>0</v>
      </c>
      <c r="BH104" s="62">
        <f t="shared" si="8"/>
        <v>0</v>
      </c>
      <c r="BI104" s="62">
        <f t="shared" si="9"/>
        <v>0</v>
      </c>
      <c r="BJ104" s="62">
        <f t="shared" si="16"/>
        <v>0</v>
      </c>
      <c r="CD104" s="10">
        <f t="shared" si="10"/>
        <v>0</v>
      </c>
      <c r="CE104" s="10">
        <f t="shared" si="11"/>
        <v>0</v>
      </c>
    </row>
    <row r="105" spans="1:83">
      <c r="A105" s="14"/>
      <c r="B105" s="14"/>
      <c r="C105" s="14"/>
      <c r="D105" s="14"/>
      <c r="E105" s="14"/>
      <c r="F105" s="14"/>
      <c r="G105" s="14"/>
      <c r="H105" s="14"/>
      <c r="I105" s="14"/>
      <c r="J105" s="14"/>
      <c r="K105" s="14"/>
      <c r="L105" s="14"/>
      <c r="M105" s="14"/>
      <c r="N105" s="14"/>
      <c r="O105" s="14"/>
      <c r="P105" s="14"/>
      <c r="Q105" s="14"/>
      <c r="R105" s="14"/>
      <c r="AD105" s="2"/>
      <c r="AQ105" s="2"/>
      <c r="AR105" s="2"/>
      <c r="AS105" s="2"/>
      <c r="AT105" s="2"/>
      <c r="AU105" s="63">
        <f>IF(L56="",0,L56)</f>
        <v>0</v>
      </c>
      <c r="AV105" s="62">
        <f t="shared" si="12"/>
        <v>0</v>
      </c>
      <c r="AW105" s="70">
        <f t="shared" si="1"/>
        <v>0</v>
      </c>
      <c r="AX105" s="62">
        <f>IF(Q56="",0,Q56)</f>
        <v>0</v>
      </c>
      <c r="AY105" s="63">
        <f t="shared" si="2"/>
        <v>0</v>
      </c>
      <c r="AZ105" s="63">
        <f t="shared" si="13"/>
        <v>0</v>
      </c>
      <c r="BA105" s="62">
        <f t="shared" si="14"/>
        <v>0</v>
      </c>
      <c r="BB105" s="64">
        <f t="shared" si="3"/>
        <v>0</v>
      </c>
      <c r="BC105" s="63">
        <f t="shared" si="4"/>
        <v>0</v>
      </c>
      <c r="BD105" s="63">
        <f t="shared" si="5"/>
        <v>0</v>
      </c>
      <c r="BE105" s="63">
        <f t="shared" si="15"/>
        <v>0</v>
      </c>
      <c r="BF105" s="72">
        <f t="shared" si="6"/>
        <v>0</v>
      </c>
      <c r="BG105" s="94">
        <f t="shared" si="7"/>
        <v>0</v>
      </c>
      <c r="BH105" s="62">
        <f t="shared" si="8"/>
        <v>0</v>
      </c>
      <c r="BI105" s="62">
        <f t="shared" si="9"/>
        <v>0</v>
      </c>
      <c r="BJ105" s="62">
        <f t="shared" si="16"/>
        <v>0</v>
      </c>
      <c r="CD105" s="10">
        <f t="shared" si="10"/>
        <v>0</v>
      </c>
      <c r="CE105" s="10">
        <f t="shared" si="11"/>
        <v>0</v>
      </c>
    </row>
    <row r="106" spans="1:83">
      <c r="A106" s="14"/>
      <c r="B106" s="14"/>
      <c r="C106" s="14"/>
      <c r="D106" s="14"/>
      <c r="E106" s="14"/>
      <c r="F106" s="14"/>
      <c r="G106" s="14"/>
      <c r="H106" s="14"/>
      <c r="I106" s="14"/>
      <c r="J106" s="14"/>
      <c r="K106" s="14"/>
      <c r="L106" s="14"/>
      <c r="M106" s="14"/>
      <c r="N106" s="14"/>
      <c r="O106" s="14"/>
      <c r="P106" s="14"/>
      <c r="Q106" s="14"/>
      <c r="R106" s="14"/>
      <c r="AD106" s="2"/>
      <c r="AQ106" s="2"/>
      <c r="AR106" s="2"/>
      <c r="AS106" s="2"/>
      <c r="AT106" s="2"/>
      <c r="AU106" s="63">
        <f>IF(L58="",0,L58)</f>
        <v>0</v>
      </c>
      <c r="AV106" s="62">
        <f t="shared" si="12"/>
        <v>0</v>
      </c>
      <c r="AW106" s="70">
        <f t="shared" si="1"/>
        <v>0</v>
      </c>
      <c r="AX106" s="62">
        <f>IF(Q58="",0,Q58)</f>
        <v>0</v>
      </c>
      <c r="AY106" s="63">
        <f t="shared" si="2"/>
        <v>0</v>
      </c>
      <c r="AZ106" s="63">
        <f t="shared" si="13"/>
        <v>0</v>
      </c>
      <c r="BA106" s="62">
        <f t="shared" si="14"/>
        <v>0</v>
      </c>
      <c r="BB106" s="64">
        <f t="shared" si="3"/>
        <v>0</v>
      </c>
      <c r="BC106" s="63">
        <f t="shared" si="4"/>
        <v>0</v>
      </c>
      <c r="BD106" s="63">
        <f t="shared" si="5"/>
        <v>0</v>
      </c>
      <c r="BE106" s="63">
        <f t="shared" si="15"/>
        <v>0</v>
      </c>
      <c r="BF106" s="72">
        <f t="shared" si="6"/>
        <v>0</v>
      </c>
      <c r="BG106" s="94">
        <f t="shared" si="7"/>
        <v>0</v>
      </c>
      <c r="BH106" s="62">
        <f t="shared" si="8"/>
        <v>0</v>
      </c>
      <c r="BI106" s="62">
        <f t="shared" si="9"/>
        <v>0</v>
      </c>
      <c r="BJ106" s="62">
        <f t="shared" si="16"/>
        <v>0</v>
      </c>
      <c r="CD106" s="10">
        <f t="shared" si="10"/>
        <v>0</v>
      </c>
      <c r="CE106" s="10">
        <f t="shared" si="11"/>
        <v>0</v>
      </c>
    </row>
    <row r="107" spans="1:83">
      <c r="A107" s="14"/>
      <c r="B107" s="14"/>
      <c r="C107" s="14"/>
      <c r="D107" s="14"/>
      <c r="E107" s="14"/>
      <c r="F107" s="14"/>
      <c r="G107" s="14"/>
      <c r="H107" s="14"/>
      <c r="I107" s="14"/>
      <c r="J107" s="14"/>
      <c r="K107" s="14"/>
      <c r="L107" s="14"/>
      <c r="M107" s="14"/>
      <c r="N107" s="14"/>
      <c r="O107" s="14"/>
      <c r="P107" s="14"/>
      <c r="Q107" s="14"/>
      <c r="R107" s="14"/>
      <c r="AD107" s="2"/>
      <c r="AQ107" s="2"/>
      <c r="AR107" s="2"/>
      <c r="AS107" s="2"/>
      <c r="AT107" s="2"/>
      <c r="AU107" s="63">
        <f>IF(L60="",0,L60)</f>
        <v>0</v>
      </c>
      <c r="AV107" s="62">
        <f t="shared" si="12"/>
        <v>0</v>
      </c>
      <c r="AW107" s="70">
        <f t="shared" si="1"/>
        <v>0</v>
      </c>
      <c r="AX107" s="62">
        <f>IF(Q60="",0,Q60)</f>
        <v>0</v>
      </c>
      <c r="AY107" s="63">
        <f t="shared" si="2"/>
        <v>0</v>
      </c>
      <c r="AZ107" s="63">
        <f t="shared" si="13"/>
        <v>0</v>
      </c>
      <c r="BA107" s="62">
        <f t="shared" si="14"/>
        <v>0</v>
      </c>
      <c r="BB107" s="64">
        <f t="shared" si="3"/>
        <v>0</v>
      </c>
      <c r="BC107" s="63">
        <f t="shared" si="4"/>
        <v>0</v>
      </c>
      <c r="BD107" s="63">
        <f t="shared" si="5"/>
        <v>0</v>
      </c>
      <c r="BE107" s="63">
        <f t="shared" si="15"/>
        <v>0</v>
      </c>
      <c r="BF107" s="72">
        <f t="shared" si="6"/>
        <v>0</v>
      </c>
      <c r="BG107" s="94">
        <f t="shared" si="7"/>
        <v>0</v>
      </c>
      <c r="BH107" s="62">
        <f t="shared" si="8"/>
        <v>0</v>
      </c>
      <c r="BI107" s="62">
        <f t="shared" si="9"/>
        <v>0</v>
      </c>
      <c r="BJ107" s="62">
        <f t="shared" si="16"/>
        <v>0</v>
      </c>
      <c r="CD107" s="10">
        <f t="shared" si="10"/>
        <v>0</v>
      </c>
      <c r="CE107" s="10">
        <f t="shared" si="11"/>
        <v>0</v>
      </c>
    </row>
    <row r="108" spans="1:83">
      <c r="A108" s="14"/>
      <c r="B108" s="14"/>
      <c r="C108" s="14"/>
      <c r="D108" s="14"/>
      <c r="E108" s="14"/>
      <c r="F108" s="14"/>
      <c r="G108" s="14"/>
      <c r="H108" s="14"/>
      <c r="I108" s="14"/>
      <c r="J108" s="14"/>
      <c r="K108" s="14"/>
      <c r="L108" s="14"/>
      <c r="M108" s="14"/>
      <c r="N108" s="14"/>
      <c r="O108" s="14"/>
      <c r="P108" s="14"/>
      <c r="Q108" s="14"/>
      <c r="R108" s="14"/>
      <c r="AD108" s="2"/>
      <c r="AQ108" s="2"/>
      <c r="AR108" s="2"/>
      <c r="AS108" s="2"/>
      <c r="AT108" s="2"/>
      <c r="AU108" s="104">
        <f>IF(L62="",0,L62)</f>
        <v>0</v>
      </c>
      <c r="AV108" s="104">
        <f t="shared" si="12"/>
        <v>0</v>
      </c>
      <c r="AW108" s="105">
        <f t="shared" si="1"/>
        <v>0</v>
      </c>
      <c r="AX108" s="106">
        <f>IF(Q62="",0,Q62)</f>
        <v>0</v>
      </c>
      <c r="AY108" s="104">
        <f t="shared" si="2"/>
        <v>0</v>
      </c>
      <c r="AZ108" s="104">
        <f t="shared" si="13"/>
        <v>0</v>
      </c>
      <c r="BA108" s="104">
        <f t="shared" si="14"/>
        <v>0</v>
      </c>
      <c r="BB108" s="107">
        <f t="shared" si="3"/>
        <v>0</v>
      </c>
      <c r="BC108" s="104">
        <f t="shared" si="4"/>
        <v>0</v>
      </c>
      <c r="BD108" s="104">
        <f t="shared" si="5"/>
        <v>0</v>
      </c>
      <c r="BE108" s="104">
        <f t="shared" si="15"/>
        <v>0</v>
      </c>
      <c r="BF108" s="108">
        <f t="shared" si="6"/>
        <v>0</v>
      </c>
      <c r="BG108" s="109">
        <f t="shared" si="7"/>
        <v>0</v>
      </c>
      <c r="BH108" s="106">
        <f t="shared" si="8"/>
        <v>0</v>
      </c>
      <c r="BI108" s="104">
        <f t="shared" si="9"/>
        <v>0</v>
      </c>
      <c r="BJ108" s="104">
        <f t="shared" si="16"/>
        <v>0</v>
      </c>
      <c r="CD108" s="10">
        <f t="shared" si="10"/>
        <v>0</v>
      </c>
      <c r="CE108" s="10">
        <f t="shared" si="11"/>
        <v>0</v>
      </c>
    </row>
    <row r="109" spans="1:83">
      <c r="A109" s="14"/>
      <c r="B109" s="14"/>
      <c r="C109" s="14"/>
      <c r="D109" s="14"/>
      <c r="E109" s="14"/>
      <c r="F109" s="14"/>
      <c r="G109" s="14"/>
      <c r="H109" s="14"/>
      <c r="I109" s="14"/>
      <c r="J109" s="14"/>
      <c r="K109" s="14"/>
      <c r="L109" s="14"/>
      <c r="M109" s="14"/>
      <c r="N109" s="14"/>
      <c r="O109" s="14"/>
      <c r="P109" s="14"/>
      <c r="Q109" s="14"/>
      <c r="R109" s="14"/>
      <c r="AD109" s="2"/>
      <c r="AQ109" s="2"/>
      <c r="AR109" s="2"/>
      <c r="AS109" s="2"/>
      <c r="AT109" s="2"/>
      <c r="AU109" s="14"/>
      <c r="AV109" s="14"/>
      <c r="AW109" s="14"/>
      <c r="AX109" s="14"/>
      <c r="AY109" s="14"/>
      <c r="AZ109" s="14"/>
      <c r="BA109" s="14"/>
      <c r="BB109" s="14"/>
      <c r="BC109" s="14"/>
      <c r="BD109" s="14"/>
      <c r="BE109" s="14"/>
      <c r="BF109" s="14"/>
      <c r="BG109" s="14"/>
      <c r="BH109" s="14"/>
      <c r="BI109" s="14"/>
      <c r="BJ109" s="14"/>
      <c r="BK109" s="14"/>
      <c r="BL109" s="14"/>
      <c r="BM109" s="14"/>
      <c r="BN109" s="14"/>
      <c r="BO109" s="14"/>
      <c r="CD109" s="13" t="str">
        <f>IF(CE109&gt;2,"?",IF(CE109=0,"",SUM(CD98:CD108)/CE109))</f>
        <v/>
      </c>
      <c r="CE109" s="13">
        <f>SUM(CE98:CE108)</f>
        <v>0</v>
      </c>
    </row>
    <row r="110" spans="1:83">
      <c r="A110" s="14"/>
      <c r="B110" s="14"/>
      <c r="C110" s="14"/>
      <c r="D110" s="14"/>
      <c r="E110" s="14"/>
      <c r="F110" s="14"/>
      <c r="G110" s="14"/>
      <c r="H110" s="14"/>
      <c r="I110" s="14"/>
      <c r="J110" s="14"/>
      <c r="K110" s="14"/>
      <c r="L110" s="14"/>
      <c r="M110" s="14"/>
      <c r="N110" s="14"/>
      <c r="O110" s="14"/>
      <c r="P110" s="14"/>
      <c r="Q110" s="14"/>
      <c r="R110" s="14"/>
      <c r="AD110" s="2"/>
      <c r="AQ110" s="2"/>
      <c r="AR110" s="2"/>
      <c r="AS110" s="2"/>
      <c r="AT110" s="2"/>
      <c r="AU110" s="102" t="s">
        <v>35</v>
      </c>
      <c r="AV110" s="103"/>
      <c r="AW110" s="103"/>
      <c r="AX110" s="103"/>
      <c r="AY110" s="103"/>
      <c r="AZ110" s="103"/>
      <c r="BA110" s="103"/>
      <c r="BB110" s="103"/>
      <c r="BC110" s="103"/>
      <c r="BD110" s="103"/>
      <c r="BE110" s="103"/>
      <c r="BF110" s="103"/>
      <c r="BG110" s="103"/>
      <c r="BH110" s="103"/>
      <c r="BI110" s="110"/>
      <c r="BJ110" s="111"/>
      <c r="BP110" s="2"/>
      <c r="BQ110" s="2"/>
      <c r="BR110" s="2"/>
      <c r="BS110" s="2"/>
      <c r="BT110" s="2"/>
      <c r="BU110" s="2"/>
      <c r="BV110" s="2"/>
      <c r="BW110" s="2"/>
      <c r="BX110" s="2"/>
      <c r="BY110" s="2"/>
      <c r="BZ110" s="2"/>
      <c r="CA110" s="2"/>
      <c r="CB110" s="2"/>
      <c r="CC110" s="2"/>
      <c r="CD110" s="14" t="str">
        <f>IF(CE109&gt;2,"flere alternativer - se tabell","")</f>
        <v/>
      </c>
    </row>
    <row r="111" spans="1:83" ht="13.5" thickBot="1">
      <c r="A111" s="14"/>
      <c r="B111" s="14"/>
      <c r="C111" s="14"/>
      <c r="D111" s="14"/>
      <c r="E111" s="14"/>
      <c r="F111" s="14"/>
      <c r="G111" s="14"/>
      <c r="H111" s="14"/>
      <c r="I111" s="14"/>
      <c r="J111" s="14"/>
      <c r="K111" s="14"/>
      <c r="L111" s="14"/>
      <c r="M111" s="14"/>
      <c r="N111" s="14"/>
      <c r="O111" s="14"/>
      <c r="P111" s="14"/>
      <c r="Q111" s="14"/>
      <c r="R111" s="14"/>
      <c r="AD111" s="2"/>
      <c r="AQ111" s="2"/>
      <c r="AR111" s="2"/>
      <c r="AS111" s="2"/>
      <c r="AT111" s="2"/>
      <c r="AU111" s="11" t="s">
        <v>6</v>
      </c>
      <c r="AV111" s="11" t="str">
        <f>("Pris "&amp;AE121)</f>
        <v>Pris hjemme</v>
      </c>
      <c r="AW111" s="11" t="s">
        <v>36</v>
      </c>
      <c r="AX111" s="11" t="s">
        <v>70</v>
      </c>
      <c r="AY111" s="11" t="s">
        <v>69</v>
      </c>
      <c r="AZ111" s="11" t="str">
        <f>("DEI "&amp;AE121)</f>
        <v>DEI hjemme</v>
      </c>
      <c r="BA111" s="11" t="str">
        <f>IF(AF40="","",("Pris=DEI "&amp;AI121))</f>
        <v>Pris=DEI utlandet</v>
      </c>
      <c r="BB111" s="11" t="s">
        <v>44</v>
      </c>
      <c r="BC111" s="11" t="s">
        <v>47</v>
      </c>
      <c r="BD111" s="11" t="s">
        <v>46</v>
      </c>
      <c r="BE111" s="11" t="s">
        <v>68</v>
      </c>
      <c r="BF111" s="11" t="s">
        <v>45</v>
      </c>
      <c r="BG111" s="11" t="s">
        <v>22</v>
      </c>
      <c r="BH111" s="69" t="s">
        <v>41</v>
      </c>
      <c r="BI111" s="71" t="s">
        <v>50</v>
      </c>
      <c r="BJ111" s="93" t="s">
        <v>49</v>
      </c>
      <c r="BP111" s="2"/>
      <c r="BQ111" s="2"/>
      <c r="BR111" s="2"/>
      <c r="BS111" s="2"/>
      <c r="BT111" s="2"/>
      <c r="BU111" s="2"/>
      <c r="BV111" s="2"/>
      <c r="BW111" s="2"/>
      <c r="BX111" s="2"/>
      <c r="BY111" s="2"/>
      <c r="BZ111" s="2"/>
      <c r="CA111" s="2"/>
      <c r="CB111" s="2"/>
      <c r="CC111" s="2"/>
    </row>
    <row r="112" spans="1:83">
      <c r="A112" s="14"/>
      <c r="B112" s="14"/>
      <c r="C112" s="14"/>
      <c r="D112" s="14"/>
      <c r="E112" s="14"/>
      <c r="F112" s="14"/>
      <c r="G112" s="14"/>
      <c r="H112" s="14"/>
      <c r="I112" s="14"/>
      <c r="J112" s="14"/>
      <c r="K112" s="14"/>
      <c r="L112" s="14"/>
      <c r="M112" s="14"/>
      <c r="N112" s="14"/>
      <c r="O112" s="14"/>
      <c r="P112" s="14"/>
      <c r="Q112" s="14"/>
      <c r="R112" s="14"/>
      <c r="AT112" s="2"/>
      <c r="AU112" s="86">
        <f>AU98</f>
        <v>0</v>
      </c>
      <c r="AV112" s="65">
        <f>IF(B42="",0,B42)</f>
        <v>0</v>
      </c>
      <c r="AW112" s="65"/>
      <c r="AX112" s="86"/>
      <c r="AY112" s="65"/>
      <c r="AZ112" s="86"/>
      <c r="BA112" s="65">
        <f>IF(D42=0,0,D42)</f>
        <v>0</v>
      </c>
      <c r="BB112" s="65">
        <f>AV112+EP</f>
        <v>0</v>
      </c>
      <c r="BC112" s="65"/>
      <c r="BD112" s="65"/>
      <c r="BE112" s="65"/>
      <c r="BF112" s="86"/>
      <c r="BG112" s="65"/>
      <c r="BH112" s="70"/>
      <c r="BI112" s="65"/>
      <c r="BJ112" s="65"/>
      <c r="BP112" s="2"/>
      <c r="BQ112" s="2"/>
      <c r="BR112" s="2"/>
      <c r="BS112" s="2"/>
      <c r="BT112" s="2"/>
      <c r="BU112" s="2"/>
      <c r="BV112" s="2"/>
      <c r="BW112" s="2"/>
      <c r="BX112" s="2"/>
      <c r="BY112" s="2"/>
      <c r="BZ112" s="2"/>
      <c r="CA112" s="2"/>
      <c r="CB112" s="2"/>
      <c r="CC112" s="2"/>
      <c r="CD112" s="2"/>
    </row>
    <row r="113" spans="1:82">
      <c r="A113" s="14"/>
      <c r="B113" s="14"/>
      <c r="C113" s="14"/>
      <c r="D113" s="14"/>
      <c r="E113" s="14"/>
      <c r="F113" s="14"/>
      <c r="G113" s="14"/>
      <c r="H113" s="14"/>
      <c r="I113" s="14"/>
      <c r="J113" s="14"/>
      <c r="K113" s="14"/>
      <c r="L113" s="14"/>
      <c r="M113" s="14"/>
      <c r="N113" s="14"/>
      <c r="O113" s="14"/>
      <c r="P113" s="14"/>
      <c r="Q113" s="14"/>
      <c r="R113" s="14"/>
      <c r="AT113" s="2"/>
      <c r="AU113" s="70">
        <f t="shared" ref="AU113:AU122" si="17">AU99</f>
        <v>0</v>
      </c>
      <c r="AV113" s="65">
        <f>IF(B44="",0,B44)</f>
        <v>0</v>
      </c>
      <c r="AW113" s="65">
        <f>G44</f>
        <v>0</v>
      </c>
      <c r="AX113" s="70">
        <f>F44</f>
        <v>0</v>
      </c>
      <c r="AY113" s="65">
        <f t="shared" ref="AY113:AY121" si="18">IF(AU100=0,0,(AW100-AW98)/($AU100-$AU98))</f>
        <v>0</v>
      </c>
      <c r="AZ113" s="70">
        <f t="shared" ref="AZ113:AZ121" si="19">IF(AU100=0,0,(BH100-BH98)/($AU100-$AU98))</f>
        <v>0</v>
      </c>
      <c r="BA113" s="65">
        <f>IF(D44=0,0,D44)</f>
        <v>0</v>
      </c>
      <c r="BB113" s="65">
        <f>IF(AU113=0,0,AV113+EP)</f>
        <v>0</v>
      </c>
      <c r="BC113" s="65">
        <f t="shared" ref="BC113:BC122" si="20">IF(AU113=0,0,BB99/AU113)</f>
        <v>0</v>
      </c>
      <c r="BD113" s="65">
        <f t="shared" ref="BD113:BD122" si="21">IF(AU113=0,0,AX113+EVK)</f>
        <v>0</v>
      </c>
      <c r="BE113" s="65">
        <f t="shared" ref="BE113:BE121" si="22">IF(AU100=0,0,(BB100-BB98)/($AU100-$AU98))</f>
        <v>0</v>
      </c>
      <c r="BF113" s="70">
        <f t="shared" ref="BF113:BF121" si="23">IF(AU100=0,0,(BI100-BI98)/($AU100-$AU98))</f>
        <v>0</v>
      </c>
      <c r="BG113" s="65">
        <f>I44</f>
        <v>0</v>
      </c>
      <c r="BH113" s="70">
        <f t="shared" ref="BH113:BH122" si="24">IF(AU113=0,0,BD99/AU113)</f>
        <v>0</v>
      </c>
      <c r="BI113" s="65">
        <f>J44</f>
        <v>0</v>
      </c>
      <c r="BJ113" s="65">
        <f t="shared" ref="BJ113:BJ122" si="25">IF(AU113=0,0,BG99/AU113)</f>
        <v>0</v>
      </c>
      <c r="BP113" s="2"/>
      <c r="BQ113" s="2"/>
      <c r="BR113" s="2"/>
      <c r="BS113" s="2"/>
      <c r="BT113" s="2"/>
      <c r="BU113" s="2"/>
      <c r="BV113" s="2"/>
      <c r="BW113" s="2"/>
      <c r="BX113" s="2"/>
      <c r="BY113" s="2"/>
      <c r="BZ113" s="2"/>
      <c r="CA113" s="2"/>
      <c r="CB113" s="2"/>
      <c r="CC113" s="2"/>
      <c r="CD113" s="2"/>
    </row>
    <row r="114" spans="1:82">
      <c r="A114" s="14"/>
      <c r="B114" s="14"/>
      <c r="C114" s="14"/>
      <c r="D114" s="14"/>
      <c r="E114" s="14"/>
      <c r="F114" s="14"/>
      <c r="G114" s="14"/>
      <c r="H114" s="14"/>
      <c r="I114" s="14"/>
      <c r="J114" s="14"/>
      <c r="K114" s="14"/>
      <c r="L114" s="14"/>
      <c r="M114" s="14"/>
      <c r="N114" s="14"/>
      <c r="O114" s="14"/>
      <c r="P114" s="14"/>
      <c r="Q114" s="14"/>
      <c r="R114" s="14"/>
      <c r="AT114" s="2"/>
      <c r="AU114" s="70">
        <f t="shared" si="17"/>
        <v>0</v>
      </c>
      <c r="AV114" s="65">
        <f>IF(B46="",0,B46)</f>
        <v>0</v>
      </c>
      <c r="AW114" s="65">
        <f>G46</f>
        <v>0</v>
      </c>
      <c r="AX114" s="70">
        <f>F46</f>
        <v>0</v>
      </c>
      <c r="AY114" s="65">
        <f t="shared" si="18"/>
        <v>0</v>
      </c>
      <c r="AZ114" s="70">
        <f t="shared" si="19"/>
        <v>0</v>
      </c>
      <c r="BA114" s="65">
        <f>IF(D46=0,0,D46)</f>
        <v>0</v>
      </c>
      <c r="BB114" s="65">
        <f t="shared" ref="BB114:BB122" si="26">IF(AU114=0,0,AV114+EP)</f>
        <v>0</v>
      </c>
      <c r="BC114" s="65">
        <f t="shared" si="20"/>
        <v>0</v>
      </c>
      <c r="BD114" s="65">
        <f t="shared" si="21"/>
        <v>0</v>
      </c>
      <c r="BE114" s="65">
        <f t="shared" si="22"/>
        <v>0</v>
      </c>
      <c r="BF114" s="70">
        <f t="shared" si="23"/>
        <v>0</v>
      </c>
      <c r="BG114" s="65">
        <f>I46</f>
        <v>0</v>
      </c>
      <c r="BH114" s="70">
        <f t="shared" si="24"/>
        <v>0</v>
      </c>
      <c r="BI114" s="65">
        <f>J46</f>
        <v>0</v>
      </c>
      <c r="BJ114" s="65">
        <f t="shared" si="25"/>
        <v>0</v>
      </c>
      <c r="BP114" s="2"/>
      <c r="BQ114" s="2"/>
      <c r="BR114" s="2"/>
      <c r="BS114" s="2"/>
      <c r="BT114" s="2"/>
      <c r="BU114" s="2"/>
      <c r="BV114" s="2"/>
      <c r="BW114" s="2"/>
      <c r="BX114" s="2"/>
      <c r="BY114" s="2"/>
      <c r="BZ114" s="2"/>
      <c r="CA114" s="2"/>
      <c r="CB114" s="2"/>
      <c r="CC114" s="2"/>
      <c r="CD114" s="2"/>
    </row>
    <row r="115" spans="1:82">
      <c r="A115" s="14"/>
      <c r="B115" s="14"/>
      <c r="C115" s="14"/>
      <c r="D115" s="14"/>
      <c r="E115" s="14"/>
      <c r="F115" s="14"/>
      <c r="G115" s="14"/>
      <c r="H115" s="14"/>
      <c r="I115" s="14"/>
      <c r="J115" s="14"/>
      <c r="K115" s="14"/>
      <c r="L115" s="14"/>
      <c r="M115" s="14"/>
      <c r="N115" s="14"/>
      <c r="O115" s="14"/>
      <c r="P115" s="14"/>
      <c r="Q115" s="14"/>
      <c r="R115" s="14"/>
      <c r="AQ115" s="2"/>
      <c r="AR115" s="2"/>
      <c r="AS115" s="2"/>
      <c r="AT115" s="2"/>
      <c r="AU115" s="70">
        <f t="shared" si="17"/>
        <v>0</v>
      </c>
      <c r="AV115" s="65">
        <f>IF(B48="",0,B48)</f>
        <v>0</v>
      </c>
      <c r="AW115" s="65">
        <f>G48</f>
        <v>0</v>
      </c>
      <c r="AX115" s="70">
        <f>F48</f>
        <v>0</v>
      </c>
      <c r="AY115" s="65">
        <f t="shared" si="18"/>
        <v>0</v>
      </c>
      <c r="AZ115" s="70">
        <f t="shared" si="19"/>
        <v>0</v>
      </c>
      <c r="BA115" s="65">
        <f>IF(D48=0,0,D48)</f>
        <v>0</v>
      </c>
      <c r="BB115" s="65">
        <f t="shared" si="26"/>
        <v>0</v>
      </c>
      <c r="BC115" s="65">
        <f t="shared" si="20"/>
        <v>0</v>
      </c>
      <c r="BD115" s="65">
        <f t="shared" si="21"/>
        <v>0</v>
      </c>
      <c r="BE115" s="65">
        <f t="shared" si="22"/>
        <v>0</v>
      </c>
      <c r="BF115" s="70">
        <f t="shared" si="23"/>
        <v>0</v>
      </c>
      <c r="BG115" s="65">
        <f>I48</f>
        <v>0</v>
      </c>
      <c r="BH115" s="70">
        <f t="shared" si="24"/>
        <v>0</v>
      </c>
      <c r="BI115" s="65">
        <f>J48</f>
        <v>0</v>
      </c>
      <c r="BJ115" s="65">
        <f t="shared" si="25"/>
        <v>0</v>
      </c>
      <c r="BP115" s="2"/>
      <c r="BQ115" s="2"/>
      <c r="BR115" s="2"/>
      <c r="BS115" s="2"/>
      <c r="BT115" s="2"/>
      <c r="BU115" s="2"/>
      <c r="BV115" s="2"/>
      <c r="BW115" s="2"/>
      <c r="BX115" s="2"/>
      <c r="BY115" s="2"/>
      <c r="BZ115" s="2"/>
      <c r="CA115" s="2"/>
      <c r="CB115" s="2"/>
      <c r="CC115" s="2"/>
      <c r="CD115" s="2"/>
    </row>
    <row r="116" spans="1:82">
      <c r="A116" s="14"/>
      <c r="B116" s="14"/>
      <c r="C116" s="14"/>
      <c r="D116" s="14"/>
      <c r="E116" s="14"/>
      <c r="F116" s="14"/>
      <c r="G116" s="14"/>
      <c r="H116" s="14"/>
      <c r="I116" s="14"/>
      <c r="J116" s="14"/>
      <c r="K116" s="14"/>
      <c r="L116" s="14"/>
      <c r="M116" s="14"/>
      <c r="N116" s="14"/>
      <c r="O116" s="14"/>
      <c r="P116" s="14"/>
      <c r="Q116" s="14"/>
      <c r="R116" s="14"/>
      <c r="AQ116" s="2"/>
      <c r="AR116" s="2"/>
      <c r="AS116" s="2"/>
      <c r="AT116" s="2"/>
      <c r="AU116" s="70">
        <f t="shared" si="17"/>
        <v>0</v>
      </c>
      <c r="AV116" s="65">
        <f>IF(B50="",0,B50)</f>
        <v>0</v>
      </c>
      <c r="AW116" s="65">
        <f>G50</f>
        <v>0</v>
      </c>
      <c r="AX116" s="70">
        <f>F50</f>
        <v>0</v>
      </c>
      <c r="AY116" s="65">
        <f t="shared" si="18"/>
        <v>0</v>
      </c>
      <c r="AZ116" s="70">
        <f t="shared" si="19"/>
        <v>0</v>
      </c>
      <c r="BA116" s="65">
        <f>IF(D50=0,0,D50)</f>
        <v>0</v>
      </c>
      <c r="BB116" s="65">
        <f t="shared" si="26"/>
        <v>0</v>
      </c>
      <c r="BC116" s="65">
        <f t="shared" si="20"/>
        <v>0</v>
      </c>
      <c r="BD116" s="65">
        <f t="shared" si="21"/>
        <v>0</v>
      </c>
      <c r="BE116" s="65">
        <f t="shared" si="22"/>
        <v>0</v>
      </c>
      <c r="BF116" s="70">
        <f t="shared" si="23"/>
        <v>0</v>
      </c>
      <c r="BG116" s="65">
        <f>I50</f>
        <v>0</v>
      </c>
      <c r="BH116" s="70">
        <f t="shared" si="24"/>
        <v>0</v>
      </c>
      <c r="BI116" s="65">
        <f>J50</f>
        <v>0</v>
      </c>
      <c r="BJ116" s="65">
        <f t="shared" si="25"/>
        <v>0</v>
      </c>
      <c r="BP116" s="2"/>
      <c r="BQ116" s="2"/>
      <c r="BR116" s="2"/>
      <c r="BS116" s="2"/>
      <c r="BT116" s="2"/>
      <c r="BU116" s="2"/>
      <c r="BV116" s="2"/>
      <c r="BW116" s="2"/>
      <c r="BX116" s="2"/>
      <c r="BY116" s="2"/>
      <c r="BZ116" s="2"/>
      <c r="CA116" s="2"/>
      <c r="CB116" s="2"/>
      <c r="CC116" s="2"/>
      <c r="CD116" s="2"/>
    </row>
    <row r="117" spans="1:82">
      <c r="A117" s="14"/>
      <c r="B117" s="14"/>
      <c r="C117" s="14"/>
      <c r="D117" s="14"/>
      <c r="E117" s="14"/>
      <c r="F117" s="14"/>
      <c r="G117" s="14"/>
      <c r="H117" s="14"/>
      <c r="I117" s="14"/>
      <c r="J117" s="14"/>
      <c r="K117" s="14"/>
      <c r="L117" s="14"/>
      <c r="M117" s="14"/>
      <c r="N117" s="14"/>
      <c r="O117" s="14"/>
      <c r="P117" s="14"/>
      <c r="Q117" s="14"/>
      <c r="R117" s="14"/>
      <c r="AD117" s="2"/>
      <c r="AE117" s="1" t="str">
        <f>IF(D3=0,"","Navn/oppgavenummer: "&amp;D3)</f>
        <v/>
      </c>
      <c r="AQ117" s="2"/>
      <c r="AR117" s="2"/>
      <c r="AS117" s="2"/>
      <c r="AT117" s="2"/>
      <c r="AU117" s="70">
        <f t="shared" si="17"/>
        <v>0</v>
      </c>
      <c r="AV117" s="65">
        <f>IF(B52="",0,B52)</f>
        <v>0</v>
      </c>
      <c r="AW117" s="65">
        <f>G52</f>
        <v>0</v>
      </c>
      <c r="AX117" s="70">
        <f>F52</f>
        <v>0</v>
      </c>
      <c r="AY117" s="65">
        <f t="shared" si="18"/>
        <v>0</v>
      </c>
      <c r="AZ117" s="70">
        <f t="shared" si="19"/>
        <v>0</v>
      </c>
      <c r="BA117" s="65">
        <f>IF(D52=0,0,D52)</f>
        <v>0</v>
      </c>
      <c r="BB117" s="65">
        <f t="shared" si="26"/>
        <v>0</v>
      </c>
      <c r="BC117" s="65">
        <f t="shared" si="20"/>
        <v>0</v>
      </c>
      <c r="BD117" s="65">
        <f t="shared" si="21"/>
        <v>0</v>
      </c>
      <c r="BE117" s="65">
        <f t="shared" si="22"/>
        <v>0</v>
      </c>
      <c r="BF117" s="70">
        <f t="shared" si="23"/>
        <v>0</v>
      </c>
      <c r="BG117" s="65">
        <f>I52</f>
        <v>0</v>
      </c>
      <c r="BH117" s="70">
        <f t="shared" si="24"/>
        <v>0</v>
      </c>
      <c r="BI117" s="65">
        <f>J52</f>
        <v>0</v>
      </c>
      <c r="BJ117" s="65">
        <f t="shared" si="25"/>
        <v>0</v>
      </c>
      <c r="BP117" s="2"/>
      <c r="BQ117" s="2"/>
      <c r="BR117" s="2"/>
      <c r="BS117" s="2"/>
      <c r="BT117" s="2"/>
      <c r="BU117" s="2"/>
      <c r="BV117" s="2"/>
      <c r="BW117" s="2"/>
      <c r="BX117" s="2"/>
      <c r="BY117" s="2"/>
      <c r="BZ117" s="2"/>
      <c r="CA117" s="2"/>
      <c r="CB117" s="2"/>
      <c r="CC117" s="2"/>
      <c r="CD117" s="2"/>
    </row>
    <row r="118" spans="1:82">
      <c r="A118" s="14"/>
      <c r="B118" s="14"/>
      <c r="C118" s="14"/>
      <c r="D118" s="14"/>
      <c r="E118" s="14"/>
      <c r="F118" s="14"/>
      <c r="G118" s="14"/>
      <c r="H118" s="14"/>
      <c r="I118" s="14"/>
      <c r="J118" s="14"/>
      <c r="K118" s="14"/>
      <c r="L118" s="14"/>
      <c r="M118" s="14"/>
      <c r="N118" s="14"/>
      <c r="O118" s="14"/>
      <c r="P118" s="14"/>
      <c r="Q118" s="14"/>
      <c r="R118" s="14"/>
      <c r="AD118" s="2"/>
      <c r="AQ118" s="2"/>
      <c r="AR118" s="2"/>
      <c r="AS118" s="2"/>
      <c r="AT118" s="2"/>
      <c r="AU118" s="70">
        <f t="shared" si="17"/>
        <v>0</v>
      </c>
      <c r="AV118" s="65">
        <f>IF(B54="",0,B54)</f>
        <v>0</v>
      </c>
      <c r="AW118" s="65">
        <f>G54</f>
        <v>0</v>
      </c>
      <c r="AX118" s="70">
        <f>F54</f>
        <v>0</v>
      </c>
      <c r="AY118" s="65">
        <f t="shared" si="18"/>
        <v>0</v>
      </c>
      <c r="AZ118" s="70">
        <f t="shared" si="19"/>
        <v>0</v>
      </c>
      <c r="BA118" s="65">
        <f>IF(D54=0,0,D54)</f>
        <v>0</v>
      </c>
      <c r="BB118" s="65">
        <f t="shared" si="26"/>
        <v>0</v>
      </c>
      <c r="BC118" s="65">
        <f t="shared" si="20"/>
        <v>0</v>
      </c>
      <c r="BD118" s="65">
        <f t="shared" si="21"/>
        <v>0</v>
      </c>
      <c r="BE118" s="65">
        <f t="shared" si="22"/>
        <v>0</v>
      </c>
      <c r="BF118" s="70">
        <f t="shared" si="23"/>
        <v>0</v>
      </c>
      <c r="BG118" s="65">
        <f>I54</f>
        <v>0</v>
      </c>
      <c r="BH118" s="70">
        <f t="shared" si="24"/>
        <v>0</v>
      </c>
      <c r="BI118" s="65">
        <f>J54</f>
        <v>0</v>
      </c>
      <c r="BJ118" s="65">
        <f t="shared" si="25"/>
        <v>0</v>
      </c>
      <c r="BP118" s="2"/>
      <c r="BQ118" s="2"/>
      <c r="BR118" s="2"/>
      <c r="BS118" s="2"/>
      <c r="BT118" s="2"/>
      <c r="BU118" s="2"/>
      <c r="BV118" s="2"/>
      <c r="BW118" s="2"/>
      <c r="BX118" s="2"/>
      <c r="BY118" s="2"/>
      <c r="BZ118" s="2"/>
      <c r="CA118" s="2"/>
      <c r="CB118" s="2"/>
      <c r="CC118" s="2"/>
      <c r="CD118" s="2"/>
    </row>
    <row r="119" spans="1:82" ht="18">
      <c r="A119" s="14"/>
      <c r="B119" s="14"/>
      <c r="C119" s="14"/>
      <c r="D119" s="14"/>
      <c r="E119" s="14"/>
      <c r="F119" s="14"/>
      <c r="G119" s="14"/>
      <c r="H119" s="14"/>
      <c r="I119" s="14"/>
      <c r="J119" s="14"/>
      <c r="K119" s="14"/>
      <c r="L119" s="14"/>
      <c r="M119" s="14"/>
      <c r="N119" s="14"/>
      <c r="O119" s="14"/>
      <c r="P119" s="14"/>
      <c r="Q119" s="14"/>
      <c r="R119" s="14"/>
      <c r="AD119" s="5" t="s">
        <v>73</v>
      </c>
      <c r="AE119" s="6"/>
      <c r="AF119" s="6"/>
      <c r="AG119" s="7"/>
      <c r="AH119" s="7"/>
      <c r="AI119" s="7"/>
      <c r="AJ119" s="7"/>
      <c r="AK119" s="7"/>
      <c r="AL119" s="7"/>
      <c r="AM119" s="7"/>
      <c r="AN119" s="7"/>
      <c r="AO119" s="7"/>
      <c r="AP119" s="7"/>
      <c r="AQ119" s="7"/>
      <c r="AR119" s="7"/>
      <c r="AS119" s="120" t="str">
        <f>IF(E12=0,"","Resultat "&amp;C14&amp;" må regnes manuelt")</f>
        <v/>
      </c>
      <c r="AT119" s="2"/>
      <c r="AU119" s="70">
        <f t="shared" si="17"/>
        <v>0</v>
      </c>
      <c r="AV119" s="65">
        <f>IF(B56="",0,B56)</f>
        <v>0</v>
      </c>
      <c r="AW119" s="65">
        <f>G56</f>
        <v>0</v>
      </c>
      <c r="AX119" s="70">
        <f>F56</f>
        <v>0</v>
      </c>
      <c r="AY119" s="65">
        <f t="shared" si="18"/>
        <v>0</v>
      </c>
      <c r="AZ119" s="70">
        <f t="shared" si="19"/>
        <v>0</v>
      </c>
      <c r="BA119" s="65">
        <f>IF(D56=0,0,D56)</f>
        <v>0</v>
      </c>
      <c r="BB119" s="65">
        <f t="shared" si="26"/>
        <v>0</v>
      </c>
      <c r="BC119" s="65">
        <f t="shared" si="20"/>
        <v>0</v>
      </c>
      <c r="BD119" s="65">
        <f t="shared" si="21"/>
        <v>0</v>
      </c>
      <c r="BE119" s="65">
        <f t="shared" si="22"/>
        <v>0</v>
      </c>
      <c r="BF119" s="70">
        <f t="shared" si="23"/>
        <v>0</v>
      </c>
      <c r="BG119" s="65">
        <f>I56</f>
        <v>0</v>
      </c>
      <c r="BH119" s="70">
        <f t="shared" si="24"/>
        <v>0</v>
      </c>
      <c r="BI119" s="65">
        <f>J56</f>
        <v>0</v>
      </c>
      <c r="BJ119" s="65">
        <f t="shared" si="25"/>
        <v>0</v>
      </c>
      <c r="BP119" s="2"/>
      <c r="BQ119" s="2"/>
      <c r="BR119" s="2"/>
      <c r="BS119" s="2"/>
      <c r="BT119" s="2"/>
      <c r="BU119" s="2"/>
      <c r="BV119" s="2"/>
      <c r="BW119" s="2"/>
      <c r="BX119" s="2"/>
      <c r="BY119" s="2"/>
      <c r="BZ119" s="2"/>
      <c r="CA119" s="2"/>
      <c r="CB119" s="2"/>
      <c r="CC119" s="2"/>
      <c r="CD119" s="2"/>
    </row>
    <row r="120" spans="1:82">
      <c r="A120" s="14"/>
      <c r="B120" s="14"/>
      <c r="C120" s="14"/>
      <c r="D120" s="14"/>
      <c r="E120" s="14"/>
      <c r="F120" s="14"/>
      <c r="G120" s="14"/>
      <c r="H120" s="14"/>
      <c r="I120" s="14"/>
      <c r="J120" s="14"/>
      <c r="K120" s="14"/>
      <c r="L120" s="14"/>
      <c r="M120" s="14"/>
      <c r="N120" s="14"/>
      <c r="O120" s="14"/>
      <c r="P120" s="14"/>
      <c r="Q120" s="14"/>
      <c r="R120" s="14"/>
      <c r="AD120" s="25" t="str">
        <f>IF(A40=0,"",A40)</f>
        <v/>
      </c>
      <c r="AE120" s="78" t="str">
        <f>IF(B40=0,"",B40)</f>
        <v>Pris</v>
      </c>
      <c r="AF120" s="78" t="s">
        <v>60</v>
      </c>
      <c r="AG120" s="78" t="s">
        <v>25</v>
      </c>
      <c r="AH120" s="78" t="s">
        <v>61</v>
      </c>
      <c r="AI120" s="78" t="str">
        <f>IF(D40=0,"",D40)</f>
        <v>Pris=DEI</v>
      </c>
      <c r="AJ120" s="78" t="str">
        <f>IF(F40=0,"",F40)</f>
        <v>Variable</v>
      </c>
      <c r="AK120" s="78" t="s">
        <v>62</v>
      </c>
      <c r="AL120" s="78" t="str">
        <f>IF(G40=0,"",G40)</f>
        <v xml:space="preserve">Sum </v>
      </c>
      <c r="AM120" s="78" t="s">
        <v>54</v>
      </c>
      <c r="AN120" s="78" t="str">
        <f>IF(H40=0,"",H40)</f>
        <v>Diff.enh.</v>
      </c>
      <c r="AO120" s="78" t="s">
        <v>71</v>
      </c>
      <c r="AP120" s="78" t="str">
        <f>IF(SUM(AF42:AF62)=0,"Salgs-","Ny salgs-")</f>
        <v>Salgs-</v>
      </c>
      <c r="AQ120" s="78" t="str">
        <f>IF(SUM(AF42:AF62)=0,"Sum","Nye sum")</f>
        <v>Sum</v>
      </c>
      <c r="AR120" s="78" t="str">
        <f>IF(SUM(AF42:AF62)=0,"","Nytt")</f>
        <v/>
      </c>
      <c r="AS120" s="27" t="s">
        <v>74</v>
      </c>
      <c r="AT120" s="2"/>
      <c r="AU120" s="70">
        <f t="shared" si="17"/>
        <v>0</v>
      </c>
      <c r="AV120" s="65">
        <f>IF(B58="",0,B58)</f>
        <v>0</v>
      </c>
      <c r="AW120" s="65">
        <f>G58</f>
        <v>0</v>
      </c>
      <c r="AX120" s="70">
        <f>F58</f>
        <v>0</v>
      </c>
      <c r="AY120" s="65">
        <f t="shared" si="18"/>
        <v>0</v>
      </c>
      <c r="AZ120" s="70">
        <f t="shared" si="19"/>
        <v>0</v>
      </c>
      <c r="BA120" s="65">
        <f>IF(D58=0,0,D58)</f>
        <v>0</v>
      </c>
      <c r="BB120" s="65">
        <f t="shared" si="26"/>
        <v>0</v>
      </c>
      <c r="BC120" s="65">
        <f t="shared" si="20"/>
        <v>0</v>
      </c>
      <c r="BD120" s="65">
        <f t="shared" si="21"/>
        <v>0</v>
      </c>
      <c r="BE120" s="65">
        <f t="shared" si="22"/>
        <v>0</v>
      </c>
      <c r="BF120" s="70">
        <f t="shared" si="23"/>
        <v>0</v>
      </c>
      <c r="BG120" s="65">
        <f>I58</f>
        <v>0</v>
      </c>
      <c r="BH120" s="70">
        <f t="shared" si="24"/>
        <v>0</v>
      </c>
      <c r="BI120" s="65">
        <f>J58</f>
        <v>0</v>
      </c>
      <c r="BJ120" s="65">
        <f t="shared" si="25"/>
        <v>0</v>
      </c>
      <c r="BP120" s="2"/>
      <c r="BQ120" s="2"/>
      <c r="BR120" s="2"/>
      <c r="BS120" s="2"/>
      <c r="BT120" s="2"/>
      <c r="BU120" s="2"/>
      <c r="BV120" s="2"/>
      <c r="BW120" s="2"/>
      <c r="BX120" s="2"/>
      <c r="BY120" s="2"/>
      <c r="BZ120" s="2"/>
      <c r="CA120" s="2"/>
      <c r="CB120" s="2"/>
      <c r="CC120" s="2"/>
      <c r="CD120" s="2"/>
    </row>
    <row r="121" spans="1:82">
      <c r="A121" s="14"/>
      <c r="B121" s="14"/>
      <c r="C121" s="14"/>
      <c r="D121" s="14"/>
      <c r="E121" s="14"/>
      <c r="F121" s="14"/>
      <c r="G121" s="14"/>
      <c r="H121" s="14"/>
      <c r="I121" s="14"/>
      <c r="J121" s="14"/>
      <c r="K121" s="14"/>
      <c r="L121" s="14"/>
      <c r="M121" s="14"/>
      <c r="N121" s="14"/>
      <c r="O121" s="14"/>
      <c r="P121" s="14"/>
      <c r="Q121" s="14"/>
      <c r="R121" s="14"/>
      <c r="AD121" s="28" t="str">
        <f>IF(A41=0,"",A41)</f>
        <v>Mengde</v>
      </c>
      <c r="AE121" s="79" t="str">
        <f>IF(B41=0,"",B41)</f>
        <v>hjemme</v>
      </c>
      <c r="AF121" s="79" t="str">
        <f>IF(B41=0,"",B41)</f>
        <v>hjemme</v>
      </c>
      <c r="AG121" s="80" t="str">
        <f>B41</f>
        <v>hjemme</v>
      </c>
      <c r="AH121" s="80" t="str">
        <f>IF(B41=0,"",B41)</f>
        <v>hjemme</v>
      </c>
      <c r="AI121" s="80" t="str">
        <f>D41</f>
        <v>utlandet</v>
      </c>
      <c r="AJ121" s="79" t="str">
        <f>IF(F41=0,"",F41)</f>
        <v>enh.kostn</v>
      </c>
      <c r="AK121" s="79" t="s">
        <v>63</v>
      </c>
      <c r="AL121" s="79" t="str">
        <f>IF(G41=0,"",G41)</f>
        <v>enh.kostn</v>
      </c>
      <c r="AM121" s="79" t="s">
        <v>63</v>
      </c>
      <c r="AN121" s="79" t="str">
        <f>IF(H41=0,"",H41)</f>
        <v>kostn.</v>
      </c>
      <c r="AO121" s="79" t="s">
        <v>63</v>
      </c>
      <c r="AP121" s="79" t="s">
        <v>20</v>
      </c>
      <c r="AQ121" s="79" t="s">
        <v>21</v>
      </c>
      <c r="AR121" s="79" t="str">
        <f>IF((SUM(AG42:AG62)+SUM(AH42:AH62))=0,"DB","Resultat")</f>
        <v>DB</v>
      </c>
      <c r="AS121" s="30" t="str">
        <f>IF((SUM(AG42:AG62)+SUM(AH42:AH62))=0,"DB","resultat")</f>
        <v>DB</v>
      </c>
      <c r="AT121" s="2"/>
      <c r="AU121" s="70">
        <f t="shared" si="17"/>
        <v>0</v>
      </c>
      <c r="AV121" s="65">
        <f>IF(B60="",0,B60)</f>
        <v>0</v>
      </c>
      <c r="AW121" s="65">
        <f>G60</f>
        <v>0</v>
      </c>
      <c r="AX121" s="70">
        <f>F60</f>
        <v>0</v>
      </c>
      <c r="AY121" s="65">
        <f t="shared" si="18"/>
        <v>0</v>
      </c>
      <c r="AZ121" s="70">
        <f t="shared" si="19"/>
        <v>0</v>
      </c>
      <c r="BA121" s="65">
        <f>IF(D60=0,0,D60)</f>
        <v>0</v>
      </c>
      <c r="BB121" s="65">
        <f t="shared" si="26"/>
        <v>0</v>
      </c>
      <c r="BC121" s="65">
        <f t="shared" si="20"/>
        <v>0</v>
      </c>
      <c r="BD121" s="65">
        <f t="shared" si="21"/>
        <v>0</v>
      </c>
      <c r="BE121" s="65">
        <f t="shared" si="22"/>
        <v>0</v>
      </c>
      <c r="BF121" s="70">
        <f t="shared" si="23"/>
        <v>0</v>
      </c>
      <c r="BG121" s="65">
        <f>I60</f>
        <v>0</v>
      </c>
      <c r="BH121" s="70">
        <f t="shared" si="24"/>
        <v>0</v>
      </c>
      <c r="BI121" s="65">
        <f>J60</f>
        <v>0</v>
      </c>
      <c r="BJ121" s="65">
        <f t="shared" si="25"/>
        <v>0</v>
      </c>
      <c r="BP121" s="2"/>
      <c r="BQ121" s="2"/>
      <c r="BR121" s="2"/>
      <c r="BS121" s="2"/>
      <c r="BT121" s="2"/>
      <c r="BU121" s="2"/>
      <c r="BV121" s="2"/>
      <c r="BW121" s="2"/>
      <c r="BX121" s="2"/>
      <c r="BY121" s="2"/>
      <c r="BZ121" s="2"/>
      <c r="CA121" s="2"/>
      <c r="CB121" s="2"/>
      <c r="CC121" s="2"/>
      <c r="CD121" s="2"/>
    </row>
    <row r="122" spans="1:82">
      <c r="A122" s="14"/>
      <c r="B122" s="14"/>
      <c r="C122" s="14"/>
      <c r="D122" s="14"/>
      <c r="E122" s="14"/>
      <c r="F122" s="14"/>
      <c r="G122" s="14"/>
      <c r="H122" s="14"/>
      <c r="I122" s="14"/>
      <c r="J122" s="14"/>
      <c r="K122" s="14"/>
      <c r="L122" s="14"/>
      <c r="M122" s="14"/>
      <c r="N122" s="14"/>
      <c r="O122" s="14"/>
      <c r="P122" s="14"/>
      <c r="Q122" s="14"/>
      <c r="R122" s="14"/>
      <c r="AD122" s="83" t="str">
        <f>IF(Startmengde="","",AU112)</f>
        <v/>
      </c>
      <c r="AE122" s="95" t="str">
        <f>IF(stoppmengde="","",AV112)</f>
        <v/>
      </c>
      <c r="AF122" s="95" t="str">
        <f>IF(EP=0,"",IF(stoppmengde="","",BB112))</f>
        <v/>
      </c>
      <c r="AG122" s="81"/>
      <c r="AH122" s="81"/>
      <c r="AI122" s="95" t="str">
        <f>IF(BA112=0,"",BA112)</f>
        <v/>
      </c>
      <c r="AJ122" s="95" t="str">
        <f>IF(AX112=0,"",AX112)</f>
        <v/>
      </c>
      <c r="AK122" s="95" t="str">
        <f>IF(EVK=0,"",IF(BD112=0,"",BD112))</f>
        <v/>
      </c>
      <c r="AL122" s="95" t="str">
        <f>IF(AW112=0,"",AW112)</f>
        <v/>
      </c>
      <c r="AM122" s="95" t="str">
        <f>IF((EVK+EFTK)=0,"",IF(BC112=0,"",BC112))</f>
        <v/>
      </c>
      <c r="AN122" s="81" t="str">
        <f>IF(H42=0,"",H42)</f>
        <v/>
      </c>
      <c r="AO122" s="81"/>
      <c r="AP122" s="121" t="str">
        <f>IF(AD42="","",IF(AF42="",AE42,AF42))</f>
        <v/>
      </c>
      <c r="AQ122" s="121" t="str">
        <f>IF(AD42="","",IF(AL42="",AK42,AL42))</f>
        <v/>
      </c>
      <c r="AR122" s="121" t="str">
        <f>IF(AD42="","",IF(AN42="",AM42,AN42))</f>
        <v/>
      </c>
      <c r="AS122" s="122" t="str">
        <f>IF(AD42="","",IF(AN42="","",AN42-AM42))</f>
        <v/>
      </c>
      <c r="AT122" s="2"/>
      <c r="AU122" s="105">
        <f t="shared" si="17"/>
        <v>0</v>
      </c>
      <c r="AV122" s="107">
        <f>IF(B62="",0,B62)</f>
        <v>0</v>
      </c>
      <c r="AW122" s="107">
        <f>G62</f>
        <v>0</v>
      </c>
      <c r="AX122" s="105">
        <f>F62</f>
        <v>0</v>
      </c>
      <c r="AY122" s="107"/>
      <c r="AZ122" s="105"/>
      <c r="BA122" s="107">
        <f>IF(D62=0,0,D62)</f>
        <v>0</v>
      </c>
      <c r="BB122" s="105">
        <f t="shared" si="26"/>
        <v>0</v>
      </c>
      <c r="BC122" s="105">
        <f t="shared" si="20"/>
        <v>0</v>
      </c>
      <c r="BD122" s="105">
        <f t="shared" si="21"/>
        <v>0</v>
      </c>
      <c r="BE122" s="107"/>
      <c r="BF122" s="105"/>
      <c r="BG122" s="107">
        <f>I62</f>
        <v>0</v>
      </c>
      <c r="BH122" s="105">
        <f t="shared" si="24"/>
        <v>0</v>
      </c>
      <c r="BI122" s="107">
        <f>J62</f>
        <v>0</v>
      </c>
      <c r="BJ122" s="105">
        <f t="shared" si="25"/>
        <v>0</v>
      </c>
      <c r="BP122" s="2"/>
      <c r="BQ122" s="2"/>
      <c r="BR122" s="2"/>
      <c r="BS122" s="2"/>
      <c r="BT122" s="2"/>
      <c r="BU122" s="2"/>
      <c r="BV122" s="2"/>
      <c r="BW122" s="2"/>
      <c r="BX122" s="2"/>
      <c r="BY122" s="2"/>
      <c r="BZ122" s="2"/>
      <c r="CA122" s="2"/>
      <c r="CB122" s="2"/>
      <c r="CC122" s="2"/>
      <c r="CD122" s="2"/>
    </row>
    <row r="123" spans="1:82">
      <c r="A123" s="14"/>
      <c r="B123" s="14"/>
      <c r="C123" s="14"/>
      <c r="D123" s="14"/>
      <c r="E123" s="14"/>
      <c r="F123" s="14"/>
      <c r="G123" s="14"/>
      <c r="H123" s="14"/>
      <c r="I123" s="14"/>
      <c r="J123" s="14"/>
      <c r="K123" s="14"/>
      <c r="L123" s="14"/>
      <c r="M123" s="14"/>
      <c r="N123" s="14"/>
      <c r="O123" s="14"/>
      <c r="P123" s="14"/>
      <c r="Q123" s="14"/>
      <c r="R123" s="14"/>
      <c r="AD123" s="83"/>
      <c r="AE123" s="97"/>
      <c r="AF123" s="97"/>
      <c r="AG123" s="81" t="str">
        <f>IF(AD124="","",(AE44-AE42)/(AD124-AD122))</f>
        <v/>
      </c>
      <c r="AH123" s="81" t="str">
        <f>IF(AD124="","",IF(EP=0,"",(AF44-AF42)/(AD124-AD122)))</f>
        <v/>
      </c>
      <c r="AI123" s="97"/>
      <c r="AJ123" s="97"/>
      <c r="AK123" s="97"/>
      <c r="AL123" s="97"/>
      <c r="AM123" s="97"/>
      <c r="AN123" s="81" t="str">
        <f>IF(AD124="","",(AK44-AK42)/(AD124-AD122))</f>
        <v/>
      </c>
      <c r="AO123" s="81" t="str">
        <f>IF(AD124="","",IF((EVK+EFTK)=0,"",(AL44-AL42)/(AD124-AD122)))</f>
        <v/>
      </c>
      <c r="AP123" s="121" t="str">
        <f t="shared" ref="AP123:AP142" si="27">IF(AD43="","",IF(AF43="",AE43,AF43))</f>
        <v/>
      </c>
      <c r="AQ123" s="121" t="str">
        <f t="shared" ref="AQ123:AQ142" si="28">IF(AD43="","",IF(AL43="",AK43,AL43))</f>
        <v/>
      </c>
      <c r="AR123" s="121" t="str">
        <f t="shared" ref="AR123:AR142" si="29">IF(AD43="","",IF(AN43="",AM43,AN43))</f>
        <v/>
      </c>
      <c r="AS123" s="122" t="str">
        <f t="shared" ref="AS123:AS142" si="30">IF(AD43="","",IF(AN43="","",AN43-AM43))</f>
        <v/>
      </c>
      <c r="AT123" s="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2"/>
      <c r="BQ123" s="2"/>
      <c r="BR123" s="2"/>
      <c r="BS123" s="2"/>
      <c r="BT123" s="2"/>
      <c r="BU123" s="2"/>
      <c r="BV123" s="2"/>
      <c r="BW123" s="2"/>
      <c r="BX123" s="2"/>
      <c r="BY123" s="2"/>
      <c r="BZ123" s="2"/>
      <c r="CA123" s="2"/>
      <c r="CB123" s="2"/>
      <c r="CC123" s="2"/>
      <c r="CD123" s="2"/>
    </row>
    <row r="124" spans="1:82">
      <c r="A124" s="14"/>
      <c r="B124" s="14"/>
      <c r="C124" s="14"/>
      <c r="D124" s="14"/>
      <c r="E124" s="14"/>
      <c r="F124" s="14"/>
      <c r="G124" s="14"/>
      <c r="H124" s="14"/>
      <c r="I124" s="14"/>
      <c r="J124" s="14"/>
      <c r="K124" s="14"/>
      <c r="L124" s="14"/>
      <c r="M124" s="14"/>
      <c r="N124" s="14"/>
      <c r="O124" s="14"/>
      <c r="P124" s="14"/>
      <c r="Q124" s="14"/>
      <c r="R124" s="14"/>
      <c r="AD124" s="83" t="str">
        <f>IF(AU113=0,"",AU113)</f>
        <v/>
      </c>
      <c r="AE124" s="97" t="str">
        <f>IF(AD124="","",AV113)</f>
        <v/>
      </c>
      <c r="AF124" s="97" t="str">
        <f>IF(EP=0,"",IF(AD124="","",BB113))</f>
        <v/>
      </c>
      <c r="AG124" s="81"/>
      <c r="AH124" s="81"/>
      <c r="AI124" s="97" t="str">
        <f>IF(BA113=0,"",BA113)</f>
        <v/>
      </c>
      <c r="AJ124" s="97" t="str">
        <f>IF(AX113=0,"",AX113)</f>
        <v/>
      </c>
      <c r="AK124" s="97" t="str">
        <f>IF(EVK=0,"",IF(BD113=0,"",BD113))</f>
        <v/>
      </c>
      <c r="AL124" s="97" t="str">
        <f>IF(AW113=0,"",AW113)</f>
        <v/>
      </c>
      <c r="AM124" s="97" t="str">
        <f>IF((EVK+EFTK)=0,"",IF(BC113=0,"",BC113))</f>
        <v/>
      </c>
      <c r="AN124" s="81"/>
      <c r="AO124" s="81"/>
      <c r="AP124" s="121" t="str">
        <f t="shared" si="27"/>
        <v/>
      </c>
      <c r="AQ124" s="121" t="str">
        <f t="shared" si="28"/>
        <v/>
      </c>
      <c r="AR124" s="121" t="str">
        <f t="shared" si="29"/>
        <v/>
      </c>
      <c r="AS124" s="122" t="str">
        <f t="shared" si="30"/>
        <v/>
      </c>
      <c r="AT124" s="2"/>
      <c r="AU124" s="113" t="str">
        <f>IF(I40=0,"",I40)</f>
        <v>Resultat</v>
      </c>
      <c r="AV124" s="113" t="s">
        <v>64</v>
      </c>
      <c r="AW124" s="113" t="str">
        <f>IF(J40=0,"",J40)</f>
        <v>db</v>
      </c>
      <c r="AX124" s="101" t="s">
        <v>49</v>
      </c>
      <c r="AY124" s="12"/>
      <c r="AZ124" s="12"/>
      <c r="BA124" s="12"/>
      <c r="BB124" s="12"/>
      <c r="BC124" s="12"/>
      <c r="BD124" s="12"/>
      <c r="BE124" s="12"/>
      <c r="BF124" s="12"/>
      <c r="BG124" s="12"/>
      <c r="BH124" s="12"/>
      <c r="BI124" s="12"/>
      <c r="BJ124" s="12"/>
      <c r="BK124" s="12"/>
      <c r="BL124" s="12"/>
      <c r="BM124" s="12"/>
      <c r="BN124" s="12"/>
      <c r="BO124" s="12"/>
      <c r="BP124" s="2"/>
      <c r="BQ124" s="2"/>
      <c r="BR124" s="2"/>
      <c r="BS124" s="2"/>
      <c r="BT124" s="2"/>
      <c r="BU124" s="2"/>
      <c r="BV124" s="2"/>
      <c r="BW124" s="2"/>
      <c r="BX124" s="2"/>
      <c r="BY124" s="2"/>
      <c r="BZ124" s="2"/>
      <c r="CA124" s="2"/>
      <c r="CB124" s="2"/>
      <c r="CC124" s="2"/>
      <c r="CD124" s="2"/>
    </row>
    <row r="125" spans="1:82">
      <c r="AD125" s="83"/>
      <c r="AE125" s="97"/>
      <c r="AF125" s="97"/>
      <c r="AG125" s="81" t="str">
        <f>IF(AD126="","",(AE46-AE44)/(AD126-AD124))</f>
        <v/>
      </c>
      <c r="AH125" s="81" t="str">
        <f>IF(AD126="","",IF(EP=0,"",(AF46-AF44)/(AD126-AD124)))</f>
        <v/>
      </c>
      <c r="AI125" s="97"/>
      <c r="AJ125" s="97"/>
      <c r="AK125" s="97"/>
      <c r="AL125" s="97"/>
      <c r="AM125" s="97"/>
      <c r="AN125" s="81" t="str">
        <f>IF(AD126="","",(AK46-AK44)/(AD126-AD124))</f>
        <v/>
      </c>
      <c r="AO125" s="81" t="str">
        <f>IF(AD126="","",IF((EVK+EFTK)=0,"",(AL46-AL44)/(AD126-AD124)))</f>
        <v/>
      </c>
      <c r="AP125" s="121" t="str">
        <f t="shared" si="27"/>
        <v/>
      </c>
      <c r="AQ125" s="121" t="str">
        <f t="shared" si="28"/>
        <v/>
      </c>
      <c r="AR125" s="121" t="str">
        <f t="shared" si="29"/>
        <v/>
      </c>
      <c r="AS125" s="122" t="str">
        <f t="shared" si="30"/>
        <v/>
      </c>
      <c r="AT125" s="2"/>
      <c r="AU125" s="114" t="str">
        <f>IF(I41=0,"",I41)</f>
        <v>per enh.</v>
      </c>
      <c r="AV125" s="114" t="s">
        <v>30</v>
      </c>
      <c r="AW125" s="114" t="str">
        <f>IF(J41=0,"",J41)</f>
        <v>per enh.</v>
      </c>
      <c r="AX125" s="30" t="s">
        <v>30</v>
      </c>
      <c r="AY125" s="39"/>
      <c r="AZ125" s="39"/>
      <c r="BA125" s="39"/>
      <c r="BB125" s="39"/>
      <c r="BC125" s="39"/>
      <c r="BD125" s="39"/>
      <c r="BE125" s="39"/>
      <c r="BF125" s="39"/>
      <c r="BG125" s="39"/>
      <c r="BH125" s="39"/>
      <c r="BI125" s="39"/>
      <c r="BJ125" s="39"/>
      <c r="BK125" s="39"/>
      <c r="BL125" s="39"/>
      <c r="BM125" s="39"/>
      <c r="BN125" s="12"/>
      <c r="BO125" s="12"/>
      <c r="BP125" s="2"/>
      <c r="BQ125" s="2"/>
      <c r="BR125" s="2"/>
      <c r="BS125" s="2"/>
      <c r="BT125" s="2"/>
      <c r="BU125" s="2"/>
      <c r="BV125" s="2"/>
      <c r="BW125" s="2"/>
      <c r="BX125" s="2"/>
      <c r="BY125" s="2"/>
      <c r="BZ125" s="2"/>
      <c r="CA125" s="2"/>
      <c r="CB125" s="2"/>
      <c r="CC125" s="2"/>
      <c r="CD125" s="2"/>
    </row>
    <row r="126" spans="1:82">
      <c r="AD126" s="83" t="str">
        <f>IF(AU114=0,"",AU114)</f>
        <v/>
      </c>
      <c r="AE126" s="97" t="str">
        <f>IF(AD126="","",AV114)</f>
        <v/>
      </c>
      <c r="AF126" s="97" t="str">
        <f>IF(EP=0,"",IF(AD126="","",BB114))</f>
        <v/>
      </c>
      <c r="AG126" s="81"/>
      <c r="AH126" s="81"/>
      <c r="AI126" s="97" t="str">
        <f>IF(BA114=0,"",BA114)</f>
        <v/>
      </c>
      <c r="AJ126" s="97" t="str">
        <f>IF(AX114=0,"",AX114)</f>
        <v/>
      </c>
      <c r="AK126" s="97" t="str">
        <f>IF(EVK=0,"",IF(BD114=0,"",BD114))</f>
        <v/>
      </c>
      <c r="AL126" s="97" t="str">
        <f>IF(AW114=0,"",AW114)</f>
        <v/>
      </c>
      <c r="AM126" s="97" t="str">
        <f>IF((EVK+EFTK)=0,"",IF(BC114=0,"",BC114))</f>
        <v/>
      </c>
      <c r="AN126" s="81"/>
      <c r="AO126" s="81"/>
      <c r="AP126" s="121" t="str">
        <f t="shared" si="27"/>
        <v/>
      </c>
      <c r="AQ126" s="121" t="str">
        <f t="shared" si="28"/>
        <v/>
      </c>
      <c r="AR126" s="121" t="str">
        <f t="shared" si="29"/>
        <v/>
      </c>
      <c r="AS126" s="122" t="str">
        <f t="shared" si="30"/>
        <v/>
      </c>
      <c r="AT126" s="15"/>
      <c r="AU126" s="115" t="str">
        <f>IF($AD122="","",BG112)</f>
        <v/>
      </c>
      <c r="AV126" s="95" t="str">
        <f>IF((EVK+EFTK+EP)=0,"",IF(BH112=0,"",BH112))</f>
        <v/>
      </c>
      <c r="AW126" s="95" t="str">
        <f>IF($AD122="","",BI112)</f>
        <v/>
      </c>
      <c r="AX126" s="96" t="str">
        <f>IF((EVK+EFTK+EP)=0,"",IF(BJ112=0,"",BJ112))</f>
        <v/>
      </c>
      <c r="AY126" s="39"/>
      <c r="AZ126" s="39"/>
      <c r="BA126" s="39"/>
      <c r="BB126" s="39"/>
      <c r="BC126" s="39"/>
      <c r="BD126" s="39"/>
      <c r="BE126" s="39"/>
      <c r="BF126" s="39"/>
      <c r="BG126" s="39"/>
      <c r="BH126" s="39"/>
      <c r="BI126" s="39"/>
      <c r="BJ126" s="39"/>
      <c r="BK126" s="39"/>
      <c r="BL126" s="39"/>
      <c r="BM126" s="39"/>
      <c r="BN126" s="39"/>
      <c r="BO126" s="39"/>
    </row>
    <row r="127" spans="1:82">
      <c r="AD127" s="83"/>
      <c r="AE127" s="97"/>
      <c r="AF127" s="97"/>
      <c r="AG127" s="81" t="str">
        <f>IF(AD128="","",(AE48-AE46)/(AD128-AD126))</f>
        <v/>
      </c>
      <c r="AH127" s="81" t="str">
        <f>IF(AD128="","",IF(EP=0,"",(AF48-AF46)/(AD128-AD126)))</f>
        <v/>
      </c>
      <c r="AI127" s="97"/>
      <c r="AJ127" s="97"/>
      <c r="AK127" s="97"/>
      <c r="AL127" s="97"/>
      <c r="AM127" s="97"/>
      <c r="AN127" s="81" t="str">
        <f>IF(AD128="","",(AK48-AK46)/(AD128-AD126))</f>
        <v/>
      </c>
      <c r="AO127" s="81" t="str">
        <f>IF(AD128="","",IF((EVK+EFTK)=0,"",(AL48-AL46)/(AD128-AD126)))</f>
        <v/>
      </c>
      <c r="AP127" s="121" t="str">
        <f t="shared" si="27"/>
        <v/>
      </c>
      <c r="AQ127" s="121" t="str">
        <f t="shared" si="28"/>
        <v/>
      </c>
      <c r="AR127" s="121" t="str">
        <f t="shared" si="29"/>
        <v/>
      </c>
      <c r="AS127" s="122" t="str">
        <f t="shared" si="30"/>
        <v/>
      </c>
      <c r="AT127" s="2"/>
      <c r="AU127" s="116"/>
      <c r="AV127" s="97"/>
      <c r="AW127" s="97"/>
      <c r="AX127" s="98"/>
    </row>
    <row r="128" spans="1:82">
      <c r="AD128" s="83" t="str">
        <f>IF(AU115=0,"",AU115)</f>
        <v/>
      </c>
      <c r="AE128" s="97" t="str">
        <f>IF(AD128="","",AV115)</f>
        <v/>
      </c>
      <c r="AF128" s="97" t="str">
        <f>IF(EP=0,"",IF(AD128="","",BB115))</f>
        <v/>
      </c>
      <c r="AG128" s="81"/>
      <c r="AH128" s="81"/>
      <c r="AI128" s="97" t="str">
        <f>IF(BA115=0,"",BA115)</f>
        <v/>
      </c>
      <c r="AJ128" s="97" t="str">
        <f>IF(AX115=0,"",AX115)</f>
        <v/>
      </c>
      <c r="AK128" s="97" t="str">
        <f>IF(EVK=0,"",IF(BD115=0,"",BD115))</f>
        <v/>
      </c>
      <c r="AL128" s="97" t="str">
        <f>IF(AW115=0,"",AW115)</f>
        <v/>
      </c>
      <c r="AM128" s="97" t="str">
        <f>IF((EVK+EFTK)=0,"",IF(BC115=0,"",BC115))</f>
        <v/>
      </c>
      <c r="AN128" s="81"/>
      <c r="AO128" s="81"/>
      <c r="AP128" s="121" t="str">
        <f t="shared" si="27"/>
        <v/>
      </c>
      <c r="AQ128" s="121" t="str">
        <f t="shared" si="28"/>
        <v/>
      </c>
      <c r="AR128" s="121" t="str">
        <f t="shared" si="29"/>
        <v/>
      </c>
      <c r="AS128" s="122" t="str">
        <f t="shared" si="30"/>
        <v/>
      </c>
      <c r="AT128" s="15"/>
      <c r="AU128" s="116" t="str">
        <f>IF($AD124="","",BG113)</f>
        <v/>
      </c>
      <c r="AV128" s="97" t="str">
        <f>IF((EVK+EFTK+EP)=0,"",IF(BH113=0,"",BH113))</f>
        <v/>
      </c>
      <c r="AW128" s="97" t="str">
        <f>IF($AD124="","",BI113)</f>
        <v/>
      </c>
      <c r="AX128" s="98" t="str">
        <f>IF((EVK+EFTK+EP)=0,"",IF(BJ113=0,"",BJ113))</f>
        <v/>
      </c>
    </row>
    <row r="129" spans="30:50">
      <c r="AD129" s="83"/>
      <c r="AE129" s="97"/>
      <c r="AF129" s="97"/>
      <c r="AG129" s="81" t="str">
        <f>IF(AD130="","",(AE50-AE48)/(AD130-AD128))</f>
        <v/>
      </c>
      <c r="AH129" s="81" t="str">
        <f>IF(AD130="","",IF(EP=0,"",(AF50-AF48)/(AD130-AD128)))</f>
        <v/>
      </c>
      <c r="AI129" s="97"/>
      <c r="AJ129" s="97"/>
      <c r="AK129" s="97"/>
      <c r="AL129" s="97"/>
      <c r="AM129" s="97"/>
      <c r="AN129" s="81" t="str">
        <f>IF(AD130="","",(AK50-AK48)/(AD130-AD128))</f>
        <v/>
      </c>
      <c r="AO129" s="81" t="str">
        <f>IF(AD130="","",IF((EVK+EFTK)=0,"",(AL50-AL48)/(AD130-AD128)))</f>
        <v/>
      </c>
      <c r="AP129" s="121" t="str">
        <f t="shared" si="27"/>
        <v/>
      </c>
      <c r="AQ129" s="121" t="str">
        <f t="shared" si="28"/>
        <v/>
      </c>
      <c r="AR129" s="121" t="str">
        <f t="shared" si="29"/>
        <v/>
      </c>
      <c r="AS129" s="122" t="str">
        <f t="shared" si="30"/>
        <v/>
      </c>
      <c r="AT129" s="15"/>
      <c r="AU129" s="116"/>
      <c r="AV129" s="97"/>
      <c r="AW129" s="97"/>
      <c r="AX129" s="98"/>
    </row>
    <row r="130" spans="30:50">
      <c r="AD130" s="83" t="str">
        <f>IF(AU116=0,"",AU116)</f>
        <v/>
      </c>
      <c r="AE130" s="97" t="str">
        <f>IF(AD130="","",AV116)</f>
        <v/>
      </c>
      <c r="AF130" s="97" t="str">
        <f>IF(EP=0,"",IF(AD130="","",BB116))</f>
        <v/>
      </c>
      <c r="AG130" s="81"/>
      <c r="AH130" s="81"/>
      <c r="AI130" s="97" t="str">
        <f>IF(BA116=0,"",BA116)</f>
        <v/>
      </c>
      <c r="AJ130" s="97" t="str">
        <f>IF(AX116=0,"",AX116)</f>
        <v/>
      </c>
      <c r="AK130" s="97" t="str">
        <f>IF(EVK=0,"",IF(BD116=0,"",BD116))</f>
        <v/>
      </c>
      <c r="AL130" s="97" t="str">
        <f>IF(AW116=0,"",AW116)</f>
        <v/>
      </c>
      <c r="AM130" s="97" t="str">
        <f>IF((EVK+EFTK)=0,"",IF(BC116=0,"",BC116))</f>
        <v/>
      </c>
      <c r="AN130" s="81"/>
      <c r="AO130" s="81"/>
      <c r="AP130" s="121" t="str">
        <f t="shared" si="27"/>
        <v/>
      </c>
      <c r="AQ130" s="121" t="str">
        <f t="shared" si="28"/>
        <v/>
      </c>
      <c r="AR130" s="121" t="str">
        <f t="shared" si="29"/>
        <v/>
      </c>
      <c r="AS130" s="122" t="str">
        <f t="shared" si="30"/>
        <v/>
      </c>
      <c r="AT130" s="2"/>
      <c r="AU130" s="116" t="str">
        <f>IF($AD126="","",BG114)</f>
        <v/>
      </c>
      <c r="AV130" s="97" t="str">
        <f>IF((EVK+EFTK+EP)=0,"",IF(BH114=0,"",BH114))</f>
        <v/>
      </c>
      <c r="AW130" s="97" t="str">
        <f>IF($AD126="","",BI114)</f>
        <v/>
      </c>
      <c r="AX130" s="98" t="str">
        <f>IF((EVK+EFTK+EP)=0,"",IF(BJ114=0,"",BJ114))</f>
        <v/>
      </c>
    </row>
    <row r="131" spans="30:50">
      <c r="AD131" s="83"/>
      <c r="AE131" s="97"/>
      <c r="AF131" s="97"/>
      <c r="AG131" s="81" t="str">
        <f>IF(AD132="","",(AE52-AE50)/(AD132-AD130))</f>
        <v/>
      </c>
      <c r="AH131" s="81" t="str">
        <f>IF(AD132="","",IF(EP=0,"",(AF52-AF50)/(AD132-AD130)))</f>
        <v/>
      </c>
      <c r="AI131" s="97"/>
      <c r="AJ131" s="97"/>
      <c r="AK131" s="97"/>
      <c r="AL131" s="97"/>
      <c r="AM131" s="97"/>
      <c r="AN131" s="81" t="str">
        <f>IF(AD132="","",(AK52-AK50)/(AD132-AD130))</f>
        <v/>
      </c>
      <c r="AO131" s="81" t="str">
        <f>IF(AD132="","",IF((EVK+EFTK)=0,"",(AL52-AL50)/(AD132-AD130)))</f>
        <v/>
      </c>
      <c r="AP131" s="121" t="str">
        <f t="shared" si="27"/>
        <v/>
      </c>
      <c r="AQ131" s="121" t="str">
        <f t="shared" si="28"/>
        <v/>
      </c>
      <c r="AR131" s="121" t="str">
        <f t="shared" si="29"/>
        <v/>
      </c>
      <c r="AS131" s="122" t="str">
        <f t="shared" si="30"/>
        <v/>
      </c>
      <c r="AT131" s="15"/>
      <c r="AU131" s="116"/>
      <c r="AV131" s="97"/>
      <c r="AW131" s="97"/>
      <c r="AX131" s="98"/>
    </row>
    <row r="132" spans="30:50">
      <c r="AD132" s="83" t="str">
        <f>IF(AU117=0,"",AU117)</f>
        <v/>
      </c>
      <c r="AE132" s="97" t="str">
        <f>IF(AD132="","",AV117)</f>
        <v/>
      </c>
      <c r="AF132" s="97" t="str">
        <f>IF(EP=0,"",IF(AD132="","",BB117))</f>
        <v/>
      </c>
      <c r="AG132" s="81"/>
      <c r="AH132" s="81"/>
      <c r="AI132" s="97" t="str">
        <f>IF(BA117=0,"",BA117)</f>
        <v/>
      </c>
      <c r="AJ132" s="97" t="str">
        <f>IF(AX117=0,"",AX117)</f>
        <v/>
      </c>
      <c r="AK132" s="97" t="str">
        <f>IF(EVK=0,"",IF(BD117=0,"",BD117))</f>
        <v/>
      </c>
      <c r="AL132" s="97" t="str">
        <f>IF(AW117=0,"",AW117)</f>
        <v/>
      </c>
      <c r="AM132" s="97" t="str">
        <f>IF((EVK+EFTK)=0,"",IF(BC117=0,"",BC117))</f>
        <v/>
      </c>
      <c r="AN132" s="81"/>
      <c r="AO132" s="81"/>
      <c r="AP132" s="121" t="str">
        <f t="shared" si="27"/>
        <v/>
      </c>
      <c r="AQ132" s="121" t="str">
        <f t="shared" si="28"/>
        <v/>
      </c>
      <c r="AR132" s="121" t="str">
        <f t="shared" si="29"/>
        <v/>
      </c>
      <c r="AS132" s="122" t="str">
        <f t="shared" si="30"/>
        <v/>
      </c>
      <c r="AU132" s="116" t="str">
        <f>IF($AD128="","",BG115)</f>
        <v/>
      </c>
      <c r="AV132" s="97" t="str">
        <f>IF((EVK+EFTK+EP)=0,"",IF(BH115=0,"",BH115))</f>
        <v/>
      </c>
      <c r="AW132" s="97" t="str">
        <f>IF($AD128="","",BI115)</f>
        <v/>
      </c>
      <c r="AX132" s="98" t="str">
        <f>IF((EVK+EFTK+EP)=0,"",IF(BJ115=0,"",BJ115))</f>
        <v/>
      </c>
    </row>
    <row r="133" spans="30:50">
      <c r="AD133" s="83"/>
      <c r="AE133" s="97"/>
      <c r="AF133" s="97"/>
      <c r="AG133" s="81" t="str">
        <f>IF(AD134="","",(AE54-AE52)/(AD134-AD132))</f>
        <v/>
      </c>
      <c r="AH133" s="81" t="str">
        <f>IF(AD134="","",IF(EP=0,"",(AF54-AF52)/(AD134-AD132)))</f>
        <v/>
      </c>
      <c r="AI133" s="97"/>
      <c r="AJ133" s="97"/>
      <c r="AK133" s="97"/>
      <c r="AL133" s="97"/>
      <c r="AM133" s="97"/>
      <c r="AN133" s="81" t="str">
        <f>IF(AD134="","",(AK54-AK52)/(AD134-AD132))</f>
        <v/>
      </c>
      <c r="AO133" s="81" t="str">
        <f>IF(AD134="","",IF((EVK+EFTK)=0,"",(AL54-AL52)/(AD134-AD132)))</f>
        <v/>
      </c>
      <c r="AP133" s="121" t="str">
        <f t="shared" si="27"/>
        <v/>
      </c>
      <c r="AQ133" s="121" t="str">
        <f t="shared" si="28"/>
        <v/>
      </c>
      <c r="AR133" s="121" t="str">
        <f t="shared" si="29"/>
        <v/>
      </c>
      <c r="AS133" s="122" t="str">
        <f t="shared" si="30"/>
        <v/>
      </c>
      <c r="AU133" s="116"/>
      <c r="AV133" s="97"/>
      <c r="AW133" s="97"/>
      <c r="AX133" s="98"/>
    </row>
    <row r="134" spans="30:50">
      <c r="AD134" s="83" t="str">
        <f>IF(AU118=0,"",AU118)</f>
        <v/>
      </c>
      <c r="AE134" s="97" t="str">
        <f>IF(AD134="","",AV118)</f>
        <v/>
      </c>
      <c r="AF134" s="97" t="str">
        <f>IF(EP=0,"",IF(AD134="","",BB118))</f>
        <v/>
      </c>
      <c r="AG134" s="81"/>
      <c r="AH134" s="81"/>
      <c r="AI134" s="97" t="str">
        <f>IF(BA118=0,"",BA118)</f>
        <v/>
      </c>
      <c r="AJ134" s="97" t="str">
        <f>IF(AX118=0,"",AX118)</f>
        <v/>
      </c>
      <c r="AK134" s="97" t="str">
        <f>IF(EVK=0,"",IF(BD118=0,"",BD118))</f>
        <v/>
      </c>
      <c r="AL134" s="97" t="str">
        <f>IF(AW118=0,"",AW118)</f>
        <v/>
      </c>
      <c r="AM134" s="97" t="str">
        <f>IF((EVK+EFTK)=0,"",IF(BC118=0,"",BC118))</f>
        <v/>
      </c>
      <c r="AN134" s="81"/>
      <c r="AO134" s="81"/>
      <c r="AP134" s="121" t="str">
        <f t="shared" si="27"/>
        <v/>
      </c>
      <c r="AQ134" s="121" t="str">
        <f t="shared" si="28"/>
        <v/>
      </c>
      <c r="AR134" s="121" t="str">
        <f t="shared" si="29"/>
        <v/>
      </c>
      <c r="AS134" s="122" t="str">
        <f t="shared" si="30"/>
        <v/>
      </c>
      <c r="AU134" s="116" t="str">
        <f>IF($AD130="","",BG116)</f>
        <v/>
      </c>
      <c r="AV134" s="97" t="str">
        <f>IF((EVK+EFTK+EP)=0,"",IF(BH116=0,"",BH116))</f>
        <v/>
      </c>
      <c r="AW134" s="97" t="str">
        <f>IF($AD130="","",BI116)</f>
        <v/>
      </c>
      <c r="AX134" s="98" t="str">
        <f>IF((EVK+EFTK+EP)=0,"",IF(BJ116=0,"",BJ116))</f>
        <v/>
      </c>
    </row>
    <row r="135" spans="30:50">
      <c r="AD135" s="83"/>
      <c r="AE135" s="97"/>
      <c r="AF135" s="97"/>
      <c r="AG135" s="81" t="str">
        <f>IF(AD136="","",(AE56-AE54)/(AD136-AD134))</f>
        <v/>
      </c>
      <c r="AH135" s="81" t="str">
        <f>IF(AD136="","",IF(EP=0,"",(AF56-AF54)/(AD136-AD134)))</f>
        <v/>
      </c>
      <c r="AI135" s="97"/>
      <c r="AJ135" s="97"/>
      <c r="AK135" s="97"/>
      <c r="AL135" s="97"/>
      <c r="AM135" s="97"/>
      <c r="AN135" s="81" t="str">
        <f>IF(AD136="","",(AK56-AK54)/(AD136-AD134))</f>
        <v/>
      </c>
      <c r="AO135" s="81" t="str">
        <f>IF(AD136="","",IF((EVK+EFTK)=0,"",(AL56-AL54)/(AD136-AD134)))</f>
        <v/>
      </c>
      <c r="AP135" s="121" t="str">
        <f t="shared" si="27"/>
        <v/>
      </c>
      <c r="AQ135" s="121" t="str">
        <f t="shared" si="28"/>
        <v/>
      </c>
      <c r="AR135" s="121" t="str">
        <f t="shared" si="29"/>
        <v/>
      </c>
      <c r="AS135" s="122" t="str">
        <f t="shared" si="30"/>
        <v/>
      </c>
      <c r="AU135" s="116"/>
      <c r="AV135" s="97"/>
      <c r="AW135" s="97"/>
      <c r="AX135" s="98"/>
    </row>
    <row r="136" spans="30:50">
      <c r="AD136" s="83" t="str">
        <f>IF(AU119=0,"",AU119)</f>
        <v/>
      </c>
      <c r="AE136" s="81" t="str">
        <f>IF(AD136="","",AV119)</f>
        <v/>
      </c>
      <c r="AF136" s="97" t="str">
        <f>IF(EP=0,"",IF(AD136="","",BB119))</f>
        <v/>
      </c>
      <c r="AG136" s="81"/>
      <c r="AH136" s="81"/>
      <c r="AI136" s="97" t="str">
        <f>IF(BA119=0,"",BA119)</f>
        <v/>
      </c>
      <c r="AJ136" s="97" t="str">
        <f>IF(AX119=0,"",AX119)</f>
        <v/>
      </c>
      <c r="AK136" s="97" t="str">
        <f>IF(EVK=0,"",IF(BD119=0,"",BD119))</f>
        <v/>
      </c>
      <c r="AL136" s="97" t="str">
        <f>IF(AW119=0,"",AW119)</f>
        <v/>
      </c>
      <c r="AM136" s="97" t="str">
        <f>IF((EVK+EFTK)=0,"",IF(BC119=0,"",BC119))</f>
        <v/>
      </c>
      <c r="AN136" s="81"/>
      <c r="AO136" s="81"/>
      <c r="AP136" s="121" t="str">
        <f t="shared" si="27"/>
        <v/>
      </c>
      <c r="AQ136" s="121" t="str">
        <f t="shared" si="28"/>
        <v/>
      </c>
      <c r="AR136" s="121" t="str">
        <f t="shared" si="29"/>
        <v/>
      </c>
      <c r="AS136" s="122" t="str">
        <f t="shared" si="30"/>
        <v/>
      </c>
      <c r="AU136" s="116" t="str">
        <f>IF($AD132="","",BG117)</f>
        <v/>
      </c>
      <c r="AV136" s="97" t="str">
        <f>IF((EVK+EFTK+EP)=0,"",IF(BH117=0,"",BH117))</f>
        <v/>
      </c>
      <c r="AW136" s="97" t="str">
        <f>IF($AD132="","",BI117)</f>
        <v/>
      </c>
      <c r="AX136" s="98" t="str">
        <f>IF((EVK+EFTK+EP)=0,"",IF(BJ117=0,"",BJ117))</f>
        <v/>
      </c>
    </row>
    <row r="137" spans="30:50">
      <c r="AD137" s="83"/>
      <c r="AE137" s="97"/>
      <c r="AF137" s="97"/>
      <c r="AG137" s="81" t="str">
        <f>IF(AD138="","",(AE58-AE56)/(AD138-AD136))</f>
        <v/>
      </c>
      <c r="AH137" s="81" t="str">
        <f>IF(AD138="","",IF(EP=0,"",(AF58-AF56)/(AD138-AD136)))</f>
        <v/>
      </c>
      <c r="AI137" s="97"/>
      <c r="AJ137" s="97"/>
      <c r="AK137" s="97"/>
      <c r="AL137" s="97"/>
      <c r="AM137" s="97"/>
      <c r="AN137" s="81" t="str">
        <f>IF(AD138="","",(AK58-AK56)/(AD138-AD136))</f>
        <v/>
      </c>
      <c r="AO137" s="81" t="str">
        <f>IF(AD138="","",IF((EVK+EFTK)=0,"",(AL58-AL56)/(AD138-AD136)))</f>
        <v/>
      </c>
      <c r="AP137" s="121" t="str">
        <f t="shared" si="27"/>
        <v/>
      </c>
      <c r="AQ137" s="121" t="str">
        <f t="shared" si="28"/>
        <v/>
      </c>
      <c r="AR137" s="121" t="str">
        <f t="shared" si="29"/>
        <v/>
      </c>
      <c r="AS137" s="122" t="str">
        <f t="shared" si="30"/>
        <v/>
      </c>
      <c r="AU137" s="116"/>
      <c r="AV137" s="97"/>
      <c r="AW137" s="97"/>
      <c r="AX137" s="98"/>
    </row>
    <row r="138" spans="30:50">
      <c r="AD138" s="83" t="str">
        <f>IF(AU120=0,"",AU120)</f>
        <v/>
      </c>
      <c r="AE138" s="97" t="str">
        <f>IF(AD138="","",AV120)</f>
        <v/>
      </c>
      <c r="AF138" s="97" t="str">
        <f>IF(EP=0,"",IF(AD138="","",BB120))</f>
        <v/>
      </c>
      <c r="AG138" s="81"/>
      <c r="AH138" s="81"/>
      <c r="AI138" s="97" t="str">
        <f>IF(BA120=0,"",BA120)</f>
        <v/>
      </c>
      <c r="AJ138" s="97" t="str">
        <f>IF(AX120=0,"",AX120)</f>
        <v/>
      </c>
      <c r="AK138" s="97" t="str">
        <f>IF(EVK=0,"",IF(BD120=0,"",BD120))</f>
        <v/>
      </c>
      <c r="AL138" s="97" t="str">
        <f>IF(AW120=0,"",AW120)</f>
        <v/>
      </c>
      <c r="AM138" s="97" t="str">
        <f>IF((EVK+EFTK)=0,"",IF(BC120=0,"",BC120))</f>
        <v/>
      </c>
      <c r="AN138" s="81"/>
      <c r="AO138" s="81"/>
      <c r="AP138" s="121" t="str">
        <f t="shared" si="27"/>
        <v/>
      </c>
      <c r="AQ138" s="121" t="str">
        <f t="shared" si="28"/>
        <v/>
      </c>
      <c r="AR138" s="121" t="str">
        <f t="shared" si="29"/>
        <v/>
      </c>
      <c r="AS138" s="122" t="str">
        <f t="shared" si="30"/>
        <v/>
      </c>
      <c r="AU138" s="116" t="str">
        <f>IF($AD134="","",BG118)</f>
        <v/>
      </c>
      <c r="AV138" s="97" t="str">
        <f>IF((EVK+EFTK+EP)=0,"",IF(BH118=0,"",BH118))</f>
        <v/>
      </c>
      <c r="AW138" s="97" t="str">
        <f>IF($AD134="","",BI118)</f>
        <v/>
      </c>
      <c r="AX138" s="98" t="str">
        <f>IF((EVK+EFTK+EP)=0,"",IF(BJ118=0,"",BJ118))</f>
        <v/>
      </c>
    </row>
    <row r="139" spans="30:50">
      <c r="AD139" s="83"/>
      <c r="AE139" s="97"/>
      <c r="AF139" s="97"/>
      <c r="AG139" s="81" t="str">
        <f>IF(AD140="","",(AE60-AE58)/(AD140-AD138))</f>
        <v/>
      </c>
      <c r="AH139" s="81" t="str">
        <f>IF(AD140="","",IF(EP=0,"",(AF60-AF58)/(AD140-AD138)))</f>
        <v/>
      </c>
      <c r="AI139" s="97"/>
      <c r="AJ139" s="97"/>
      <c r="AK139" s="97"/>
      <c r="AL139" s="97"/>
      <c r="AM139" s="97"/>
      <c r="AN139" s="81" t="str">
        <f>IF(AD140="","",(AK60-AK58)/(AD140-AD138))</f>
        <v/>
      </c>
      <c r="AO139" s="81" t="str">
        <f>IF(AD140="","",IF((EVK+EFTK)=0,"",(AL60-AL58)/(AD140-AD138)))</f>
        <v/>
      </c>
      <c r="AP139" s="121" t="str">
        <f t="shared" si="27"/>
        <v/>
      </c>
      <c r="AQ139" s="121" t="str">
        <f t="shared" si="28"/>
        <v/>
      </c>
      <c r="AR139" s="121" t="str">
        <f t="shared" si="29"/>
        <v/>
      </c>
      <c r="AS139" s="122" t="str">
        <f t="shared" si="30"/>
        <v/>
      </c>
      <c r="AU139" s="116"/>
      <c r="AV139" s="97"/>
      <c r="AW139" s="97"/>
      <c r="AX139" s="98"/>
    </row>
    <row r="140" spans="30:50">
      <c r="AD140" s="83" t="str">
        <f>IF(AU121=0,"",AU121)</f>
        <v/>
      </c>
      <c r="AE140" s="97" t="str">
        <f>IF(AD140="","",AV121)</f>
        <v/>
      </c>
      <c r="AF140" s="97" t="str">
        <f>IF(EP=0,"",IF(AD140="","",BB121))</f>
        <v/>
      </c>
      <c r="AG140" s="81"/>
      <c r="AH140" s="81"/>
      <c r="AI140" s="97" t="str">
        <f>IF(BA121=0,"",BA121)</f>
        <v/>
      </c>
      <c r="AJ140" s="97" t="str">
        <f>IF(AX121=0,"",AX121)</f>
        <v/>
      </c>
      <c r="AK140" s="97" t="str">
        <f>IF(EVK=0,"",IF(BD121=0,"",BD121))</f>
        <v/>
      </c>
      <c r="AL140" s="97" t="str">
        <f>IF(AW121=0,"",AW121)</f>
        <v/>
      </c>
      <c r="AM140" s="97" t="str">
        <f>IF((EVK+EFTK)=0,"",IF(BC121=0,"",BC121))</f>
        <v/>
      </c>
      <c r="AN140" s="81"/>
      <c r="AO140" s="81"/>
      <c r="AP140" s="121" t="str">
        <f t="shared" si="27"/>
        <v/>
      </c>
      <c r="AQ140" s="121" t="str">
        <f t="shared" si="28"/>
        <v/>
      </c>
      <c r="AR140" s="121" t="str">
        <f t="shared" si="29"/>
        <v/>
      </c>
      <c r="AS140" s="122" t="str">
        <f t="shared" si="30"/>
        <v/>
      </c>
      <c r="AU140" s="116" t="str">
        <f>IF($AD136="","",BG119)</f>
        <v/>
      </c>
      <c r="AV140" s="97" t="str">
        <f>IF((EVK+EFTK+EP)=0,"",IF(BH119=0,"",BH119))</f>
        <v/>
      </c>
      <c r="AW140" s="97" t="str">
        <f>IF($AD136="","",BI119)</f>
        <v/>
      </c>
      <c r="AX140" s="98" t="str">
        <f>IF((EVK+EFTK+EP)=0,"",IF(BJ119=0,"",BJ119))</f>
        <v/>
      </c>
    </row>
    <row r="141" spans="30:50">
      <c r="AD141" s="83"/>
      <c r="AE141" s="97"/>
      <c r="AF141" s="97"/>
      <c r="AG141" s="81" t="str">
        <f>IF(AD142="","",(AE62-AE60)/(AD142-AD140))</f>
        <v/>
      </c>
      <c r="AH141" s="81" t="str">
        <f>IF(AD142="","",IF(EP=0,"",(AF62-AF60)/(AD142-AD140)))</f>
        <v/>
      </c>
      <c r="AI141" s="97"/>
      <c r="AJ141" s="97"/>
      <c r="AK141" s="97"/>
      <c r="AL141" s="97"/>
      <c r="AM141" s="97"/>
      <c r="AN141" s="81" t="str">
        <f>IF(AD142="","",(AK62-AK60)/(AD142-AD140))</f>
        <v/>
      </c>
      <c r="AO141" s="81" t="str">
        <f>IF(AD142="","",IF((EVK+EFTK)=0,"",(AL62-AL60)/(AD142-AD140)))</f>
        <v/>
      </c>
      <c r="AP141" s="121" t="str">
        <f t="shared" si="27"/>
        <v/>
      </c>
      <c r="AQ141" s="121" t="str">
        <f t="shared" si="28"/>
        <v/>
      </c>
      <c r="AR141" s="121" t="str">
        <f t="shared" si="29"/>
        <v/>
      </c>
      <c r="AS141" s="122" t="str">
        <f t="shared" si="30"/>
        <v/>
      </c>
      <c r="AU141" s="116"/>
      <c r="AV141" s="97"/>
      <c r="AW141" s="97"/>
      <c r="AX141" s="98"/>
    </row>
    <row r="142" spans="30:50">
      <c r="AD142" s="84" t="str">
        <f>IF(AU122=0,"",AU122)</f>
        <v/>
      </c>
      <c r="AE142" s="99" t="str">
        <f>IF(AD142="","",AV121)</f>
        <v/>
      </c>
      <c r="AF142" s="99" t="str">
        <f>IF(EP=0,"",IF(AD142="","",BB122))</f>
        <v/>
      </c>
      <c r="AG142" s="82"/>
      <c r="AH142" s="82"/>
      <c r="AI142" s="99" t="str">
        <f>IF(BA121=0,"",BA121)</f>
        <v/>
      </c>
      <c r="AJ142" s="99" t="str">
        <f>IF(AX121=0,"",AX121)</f>
        <v/>
      </c>
      <c r="AK142" s="99" t="str">
        <f>IF(EVK=0,"",IF(BD122=0,"",BD122))</f>
        <v/>
      </c>
      <c r="AL142" s="99" t="str">
        <f>IF(AW121=0,"",AW121)</f>
        <v/>
      </c>
      <c r="AM142" s="99" t="str">
        <f>IF((EVK+EFTK)=0,"",IF(BC122=0,"",BC122))</f>
        <v/>
      </c>
      <c r="AN142" s="82"/>
      <c r="AO142" s="82"/>
      <c r="AP142" s="123" t="str">
        <f t="shared" si="27"/>
        <v/>
      </c>
      <c r="AQ142" s="124" t="str">
        <f t="shared" si="28"/>
        <v/>
      </c>
      <c r="AR142" s="123" t="str">
        <f t="shared" si="29"/>
        <v/>
      </c>
      <c r="AS142" s="125" t="str">
        <f t="shared" si="30"/>
        <v/>
      </c>
      <c r="AU142" s="116" t="str">
        <f>IF($AD138="","",BG120)</f>
        <v/>
      </c>
      <c r="AV142" s="97" t="str">
        <f>IF((EVK+EFTK+EP)=0,"",IF(BH120=0,"",BH120))</f>
        <v/>
      </c>
      <c r="AW142" s="97" t="str">
        <f>IF($AD138="","",BI120)</f>
        <v/>
      </c>
      <c r="AX142" s="98" t="str">
        <f>IF((EVK+EFTK+EP)=0,"",IF(BJ120=0,"",BJ120))</f>
        <v/>
      </c>
    </row>
    <row r="143" spans="30:50">
      <c r="AU143" s="116"/>
      <c r="AV143" s="97"/>
      <c r="AW143" s="97"/>
      <c r="AX143" s="98"/>
    </row>
    <row r="144" spans="30:50">
      <c r="AU144" s="116" t="str">
        <f>IF($AD140="","",BG121)</f>
        <v/>
      </c>
      <c r="AV144" s="97" t="str">
        <f>IF((EVK+EFTK+EP)=0,"",IF(BH121=0,"",BH121))</f>
        <v/>
      </c>
      <c r="AW144" s="97" t="str">
        <f>IF($AD140="","",BI121)</f>
        <v/>
      </c>
      <c r="AX144" s="98" t="str">
        <f>IF((EVK+EFTK+EP)=0,"",IF(BJ121=0,"",BJ121))</f>
        <v/>
      </c>
    </row>
    <row r="145" spans="47:50">
      <c r="AU145" s="116"/>
      <c r="AV145" s="97"/>
      <c r="AW145" s="97"/>
      <c r="AX145" s="98"/>
    </row>
    <row r="146" spans="47:50">
      <c r="AU146" s="117" t="str">
        <f>IF($AD142="","",BG121)</f>
        <v/>
      </c>
      <c r="AV146" s="99" t="str">
        <f>IF((EVK+EFTK+EP)=0,"",IF(BH122=0,"",BH122))</f>
        <v/>
      </c>
      <c r="AW146" s="99" t="str">
        <f>IF($AD142="","",BI121)</f>
        <v/>
      </c>
      <c r="AX146" s="100" t="str">
        <f>IF((EVK+EFTK+EP)=0,"",IF(BJ122=0,"",BJ122))</f>
        <v/>
      </c>
    </row>
    <row r="202" spans="33:41">
      <c r="AG202" s="144" t="str">
        <f>A24</f>
        <v>Beregning av dekningsbidrag og overskudd:</v>
      </c>
      <c r="AH202" s="150"/>
      <c r="AI202" s="150"/>
      <c r="AJ202" s="150"/>
      <c r="AK202" s="150"/>
      <c r="AL202" s="150"/>
      <c r="AM202" s="151" t="str">
        <f t="shared" ref="AM202:AO209" si="31">F24</f>
        <v>Kr/enhet</v>
      </c>
      <c r="AN202" s="151" t="str">
        <f t="shared" si="31"/>
        <v>Mengde</v>
      </c>
      <c r="AO202" s="151" t="str">
        <f t="shared" si="31"/>
        <v>Totalt</v>
      </c>
    </row>
    <row r="203" spans="33:41">
      <c r="AG203" s="143"/>
      <c r="AH203" s="1" t="str">
        <f t="shared" ref="AH203:AH209" si="32">A25</f>
        <v>Inntekt hjemme (pris hjemme x mengde hjemme)</v>
      </c>
      <c r="AM203" s="147">
        <f t="shared" si="31"/>
        <v>0</v>
      </c>
      <c r="AN203" s="147">
        <f t="shared" si="31"/>
        <v>0</v>
      </c>
      <c r="AO203" s="147">
        <f t="shared" si="31"/>
        <v>0</v>
      </c>
    </row>
    <row r="204" spans="33:41">
      <c r="AG204" s="143" t="e">
        <f>#REF!</f>
        <v>#REF!</v>
      </c>
      <c r="AH204" s="145" t="str">
        <f t="shared" si="32"/>
        <v/>
      </c>
      <c r="AI204" s="145"/>
      <c r="AJ204" s="145"/>
      <c r="AK204" s="145"/>
      <c r="AL204" s="145"/>
      <c r="AM204" s="148">
        <f t="shared" si="31"/>
        <v>0</v>
      </c>
      <c r="AN204" s="148">
        <f t="shared" si="31"/>
        <v>0</v>
      </c>
      <c r="AO204" s="148">
        <f t="shared" si="31"/>
        <v>0</v>
      </c>
    </row>
    <row r="205" spans="33:41">
      <c r="AG205" s="143" t="e">
        <f>#REF!</f>
        <v>#REF!</v>
      </c>
      <c r="AH205" s="1" t="str">
        <f t="shared" si="32"/>
        <v>Sum Inntekt</v>
      </c>
      <c r="AM205" s="147">
        <f t="shared" si="31"/>
        <v>0</v>
      </c>
      <c r="AN205" s="147">
        <f t="shared" si="31"/>
        <v>0</v>
      </c>
      <c r="AO205" s="147">
        <f t="shared" si="31"/>
        <v>0</v>
      </c>
    </row>
    <row r="206" spans="33:41">
      <c r="AG206" s="143" t="e">
        <f>#REF!</f>
        <v>#REF!</v>
      </c>
      <c r="AH206" s="145" t="str">
        <f t="shared" si="32"/>
        <v xml:space="preserve">Sum enhetskostnader ved  </v>
      </c>
      <c r="AI206" s="145"/>
      <c r="AJ206" s="145"/>
      <c r="AK206" s="145"/>
      <c r="AL206" s="145"/>
      <c r="AM206" s="148">
        <f t="shared" si="31"/>
        <v>0</v>
      </c>
      <c r="AN206" s="148">
        <f t="shared" si="31"/>
        <v>0</v>
      </c>
      <c r="AO206" s="148">
        <f t="shared" si="31"/>
        <v>0</v>
      </c>
    </row>
    <row r="207" spans="33:41">
      <c r="AG207" s="143"/>
      <c r="AH207" s="146" t="str">
        <f t="shared" si="32"/>
        <v>Overskudd (sum inntekter - sum kostnader)</v>
      </c>
      <c r="AI207" s="146"/>
      <c r="AJ207" s="146"/>
      <c r="AK207" s="146"/>
      <c r="AL207" s="146"/>
      <c r="AM207" s="149">
        <f t="shared" si="31"/>
        <v>0</v>
      </c>
      <c r="AN207" s="149">
        <f t="shared" si="31"/>
        <v>0</v>
      </c>
      <c r="AO207" s="149">
        <f t="shared" si="31"/>
        <v>0</v>
      </c>
    </row>
    <row r="208" spans="33:41">
      <c r="AG208" s="143" t="e">
        <f>#REF!</f>
        <v>#REF!</v>
      </c>
      <c r="AH208" s="146" t="str">
        <f t="shared" si="32"/>
        <v xml:space="preserve">Variable enhetskostnader ved  </v>
      </c>
      <c r="AI208" s="146"/>
      <c r="AJ208" s="146"/>
      <c r="AK208" s="146"/>
      <c r="AL208" s="146"/>
      <c r="AM208" s="149">
        <f t="shared" si="31"/>
        <v>0</v>
      </c>
      <c r="AN208" s="149">
        <f t="shared" si="31"/>
        <v>0</v>
      </c>
      <c r="AO208" s="149">
        <f t="shared" si="31"/>
        <v>0</v>
      </c>
    </row>
    <row r="209" spans="33:41">
      <c r="AG209" s="143" t="e">
        <f>#REF!</f>
        <v>#REF!</v>
      </c>
      <c r="AH209" s="146" t="str">
        <f t="shared" si="32"/>
        <v>Dekningsbidrag (sum inntekt - variable kostn.)</v>
      </c>
      <c r="AI209" s="146"/>
      <c r="AJ209" s="146"/>
      <c r="AK209" s="146"/>
      <c r="AL209" s="146"/>
      <c r="AM209" s="149">
        <f t="shared" si="31"/>
        <v>0</v>
      </c>
      <c r="AN209" s="149">
        <f t="shared" si="31"/>
        <v>0</v>
      </c>
      <c r="AO209" s="149">
        <f t="shared" si="31"/>
        <v>0</v>
      </c>
    </row>
  </sheetData>
  <sheetProtection sheet="1" objects="1" scenarios="1"/>
  <mergeCells count="5">
    <mergeCell ref="W39:Z39"/>
    <mergeCell ref="D3:E3"/>
    <mergeCell ref="A11:E11"/>
    <mergeCell ref="A16:E16"/>
    <mergeCell ref="A2:N2"/>
  </mergeCells>
  <phoneticPr fontId="1" type="noConversion"/>
  <dataValidations count="1">
    <dataValidation type="whole" allowBlank="1" showInputMessage="1" showErrorMessage="1" sqref="E10">
      <formula1>6</formula1>
      <formula2>11</formula2>
    </dataValidation>
  </dataValidations>
  <printOptions gridLinesSet="0"/>
  <pageMargins left="0.59" right="0.39000000000000007" top="0.76" bottom="0.67" header="0.43999999999999995" footer="0.45"/>
  <pageSetup paperSize="9" orientation="landscape" horizontalDpi="4294967292" verticalDpi="4294967292" r:id="rId1"/>
  <headerFooter>
    <oddFooter>&amp;L&amp;"Arial,Vanlig"Johs Totland 20©15&amp;C&amp;"Arial,Vanlig"&amp;F &amp;A&amp;R&amp;"Arial,Vanlig"Side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52" r:id="rId4" name="Button 128">
              <controlPr defaultSize="0" print="0" autoFill="0" autoLine="0" autoPict="0" macro="[0]!variable_i_tabell">
                <anchor moveWithCells="1" sizeWithCells="1">
                  <from>
                    <xdr:col>0</xdr:col>
                    <xdr:colOff>76200</xdr:colOff>
                    <xdr:row>0</xdr:row>
                    <xdr:rowOff>66675</xdr:rowOff>
                  </from>
                  <to>
                    <xdr:col>2</xdr:col>
                    <xdr:colOff>276225</xdr:colOff>
                    <xdr:row>0</xdr:row>
                    <xdr:rowOff>295275</xdr:rowOff>
                  </to>
                </anchor>
              </controlPr>
            </control>
          </mc:Choice>
        </mc:AlternateContent>
        <mc:AlternateContent xmlns:mc="http://schemas.openxmlformats.org/markup-compatibility/2006">
          <mc:Choice Requires="x14">
            <control shapeId="1153" r:id="rId5" name="Button 129">
              <controlPr defaultSize="0" print="0" autoFill="0" autoLine="0" autoPict="0" macro="[0]!topp">
                <anchor moveWithCells="1" sizeWithCells="1">
                  <from>
                    <xdr:col>5</xdr:col>
                    <xdr:colOff>104775</xdr:colOff>
                    <xdr:row>0</xdr:row>
                    <xdr:rowOff>66675</xdr:rowOff>
                  </from>
                  <to>
                    <xdr:col>6</xdr:col>
                    <xdr:colOff>190500</xdr:colOff>
                    <xdr:row>0</xdr:row>
                    <xdr:rowOff>295275</xdr:rowOff>
                  </to>
                </anchor>
              </controlPr>
            </control>
          </mc:Choice>
        </mc:AlternateContent>
        <mc:AlternateContent xmlns:mc="http://schemas.openxmlformats.org/markup-compatibility/2006">
          <mc:Choice Requires="x14">
            <control shapeId="1167" r:id="rId6" name="Button 143">
              <controlPr defaultSize="0" print="0" autoFill="0" autoLine="0" autoPict="0" macro="[0]!slett">
                <anchor moveWithCells="1" sizeWithCells="1">
                  <from>
                    <xdr:col>6</xdr:col>
                    <xdr:colOff>200025</xdr:colOff>
                    <xdr:row>0</xdr:row>
                    <xdr:rowOff>66675</xdr:rowOff>
                  </from>
                  <to>
                    <xdr:col>7</xdr:col>
                    <xdr:colOff>9525</xdr:colOff>
                    <xdr:row>0</xdr:row>
                    <xdr:rowOff>295275</xdr:rowOff>
                  </to>
                </anchor>
              </controlPr>
            </control>
          </mc:Choice>
        </mc:AlternateContent>
        <mc:AlternateContent xmlns:mc="http://schemas.openxmlformats.org/markup-compatibility/2006">
          <mc:Choice Requires="x14">
            <control shapeId="1210" r:id="rId7" name="Button 186">
              <controlPr defaultSize="0" print="0" autoFill="0" autoLine="0" autoPict="0" macro="[0]!utskrift">
                <anchor moveWithCells="1" sizeWithCells="1">
                  <from>
                    <xdr:col>7</xdr:col>
                    <xdr:colOff>9525</xdr:colOff>
                    <xdr:row>0</xdr:row>
                    <xdr:rowOff>66675</xdr:rowOff>
                  </from>
                  <to>
                    <xdr:col>7</xdr:col>
                    <xdr:colOff>561975</xdr:colOff>
                    <xdr:row>0</xdr:row>
                    <xdr:rowOff>295275</xdr:rowOff>
                  </to>
                </anchor>
              </controlPr>
            </control>
          </mc:Choice>
        </mc:AlternateContent>
        <mc:AlternateContent xmlns:mc="http://schemas.openxmlformats.org/markup-compatibility/2006">
          <mc:Choice Requires="x14">
            <control shapeId="1282" r:id="rId8" name="Button 258">
              <controlPr defaultSize="0" print="0" autoFill="0" autoLine="0" autoPict="0" macro="[0]!Modul1.enhetsdiagram">
                <anchor moveWithCells="1" sizeWithCells="1">
                  <from>
                    <xdr:col>2</xdr:col>
                    <xdr:colOff>276225</xdr:colOff>
                    <xdr:row>0</xdr:row>
                    <xdr:rowOff>66675</xdr:rowOff>
                  </from>
                  <to>
                    <xdr:col>3</xdr:col>
                    <xdr:colOff>571500</xdr:colOff>
                    <xdr:row>0</xdr:row>
                    <xdr:rowOff>295275</xdr:rowOff>
                  </to>
                </anchor>
              </controlPr>
            </control>
          </mc:Choice>
        </mc:AlternateContent>
        <mc:AlternateContent xmlns:mc="http://schemas.openxmlformats.org/markup-compatibility/2006">
          <mc:Choice Requires="x14">
            <control shapeId="1283" r:id="rId9" name="Button 259">
              <controlPr defaultSize="0" print="0" autoFill="0" autoLine="0" autoPict="0" macro="[0]!Modul1.totaldiagram">
                <anchor moveWithCells="1" sizeWithCells="1">
                  <from>
                    <xdr:col>3</xdr:col>
                    <xdr:colOff>571500</xdr:colOff>
                    <xdr:row>0</xdr:row>
                    <xdr:rowOff>66675</xdr:rowOff>
                  </from>
                  <to>
                    <xdr:col>5</xdr:col>
                    <xdr:colOff>104775</xdr:colOff>
                    <xdr:row>0</xdr:row>
                    <xdr:rowOff>295275</xdr:rowOff>
                  </to>
                </anchor>
              </controlPr>
            </control>
          </mc:Choice>
        </mc:AlternateContent>
        <mc:AlternateContent xmlns:mc="http://schemas.openxmlformats.org/markup-compatibility/2006">
          <mc:Choice Requires="x14">
            <control shapeId="1285" r:id="rId10" name="Button 261">
              <controlPr defaultSize="0" print="0" autoFill="0" autoLine="0" autoPict="0" macro="[0]!hjelp">
                <anchor moveWithCells="1" sizeWithCells="1">
                  <from>
                    <xdr:col>7</xdr:col>
                    <xdr:colOff>571500</xdr:colOff>
                    <xdr:row>0</xdr:row>
                    <xdr:rowOff>66675</xdr:rowOff>
                  </from>
                  <to>
                    <xdr:col>8</xdr:col>
                    <xdr:colOff>447675</xdr:colOff>
                    <xdr:row>0</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3" enableFormatConditionsCalculation="0">
    <pageSetUpPr fitToPage="1"/>
  </sheetPr>
  <dimension ref="Q7:V19"/>
  <sheetViews>
    <sheetView showGridLines="0" workbookViewId="0">
      <selection activeCell="M11" sqref="M11"/>
    </sheetView>
  </sheetViews>
  <sheetFormatPr baseColWidth="10" defaultColWidth="10.83203125" defaultRowHeight="12.75"/>
  <cols>
    <col min="1" max="15" width="10.83203125" style="187"/>
    <col min="16" max="16" width="7.83203125" style="187" customWidth="1"/>
    <col min="17" max="16384" width="10.83203125" style="187"/>
  </cols>
  <sheetData>
    <row r="7" spans="17:22">
      <c r="Q7" s="197" t="s">
        <v>81</v>
      </c>
      <c r="R7" s="185"/>
      <c r="S7" s="185"/>
      <c r="T7" s="185"/>
      <c r="U7" s="185"/>
      <c r="V7" s="186"/>
    </row>
    <row r="8" spans="17:22">
      <c r="Q8" s="198" t="s">
        <v>82</v>
      </c>
      <c r="R8" s="188"/>
      <c r="S8" s="188"/>
      <c r="T8" s="188"/>
      <c r="U8" s="188"/>
      <c r="V8" s="189"/>
    </row>
    <row r="9" spans="17:22">
      <c r="Q9" s="190"/>
      <c r="R9" s="191"/>
      <c r="S9" s="191"/>
      <c r="T9" s="191"/>
      <c r="U9" s="192"/>
      <c r="V9" s="189"/>
    </row>
    <row r="10" spans="17:22">
      <c r="Q10" s="190"/>
      <c r="R10" s="191"/>
      <c r="S10" s="191"/>
      <c r="T10" s="191"/>
      <c r="U10" s="192"/>
      <c r="V10" s="189"/>
    </row>
    <row r="11" spans="17:22">
      <c r="Q11" s="190"/>
      <c r="R11" s="191"/>
      <c r="S11" s="191"/>
      <c r="T11" s="191"/>
      <c r="U11" s="192"/>
      <c r="V11" s="189"/>
    </row>
    <row r="12" spans="17:22">
      <c r="Q12" s="190"/>
      <c r="R12" s="191"/>
      <c r="S12" s="191"/>
      <c r="T12" s="191"/>
      <c r="U12" s="192"/>
      <c r="V12" s="189"/>
    </row>
    <row r="13" spans="17:22">
      <c r="Q13" s="190"/>
      <c r="R13" s="191"/>
      <c r="S13" s="191"/>
      <c r="T13" s="191"/>
      <c r="U13" s="192"/>
      <c r="V13" s="189"/>
    </row>
    <row r="14" spans="17:22">
      <c r="Q14" s="190"/>
      <c r="R14" s="191"/>
      <c r="S14" s="191"/>
      <c r="T14" s="191"/>
      <c r="U14" s="192"/>
      <c r="V14" s="189"/>
    </row>
    <row r="15" spans="17:22">
      <c r="Q15" s="190"/>
      <c r="R15" s="191"/>
      <c r="S15" s="191"/>
      <c r="T15" s="191"/>
      <c r="U15" s="192"/>
      <c r="V15" s="189"/>
    </row>
    <row r="16" spans="17:22">
      <c r="Q16" s="190"/>
      <c r="R16" s="191"/>
      <c r="S16" s="191"/>
      <c r="T16" s="191"/>
      <c r="U16" s="192"/>
      <c r="V16" s="189"/>
    </row>
    <row r="17" spans="17:22">
      <c r="Q17" s="190"/>
      <c r="R17" s="191"/>
      <c r="S17" s="191"/>
      <c r="T17" s="191"/>
      <c r="U17" s="192"/>
      <c r="V17" s="189"/>
    </row>
    <row r="18" spans="17:22">
      <c r="Q18" s="190"/>
      <c r="R18" s="191"/>
      <c r="S18" s="191"/>
      <c r="T18" s="191"/>
      <c r="U18" s="192"/>
      <c r="V18" s="189"/>
    </row>
    <row r="19" spans="17:22">
      <c r="Q19" s="193"/>
      <c r="R19" s="194"/>
      <c r="S19" s="194"/>
      <c r="T19" s="194"/>
      <c r="U19" s="195"/>
      <c r="V19" s="196"/>
    </row>
  </sheetData>
  <sheetProtection sheet="1" objects="1" scenarios="1"/>
  <phoneticPr fontId="1" type="noConversion"/>
  <pageMargins left="0.79000000000000015" right="0.79000000000000015" top="1" bottom="1" header="0.5" footer="0.5"/>
  <pageSetup paperSize="9" scale="59" orientation="portrait" horizontalDpi="0" verticalDpi="0"/>
  <headerFooter>
    <oddFooter>&amp;L&amp;"Arial,Vanlig"Johs Totland 20©15&amp;C&amp;"Arial,Vanlig"&amp;F &amp;A&amp;R&amp;"Arial,Vanlig"Side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3073" r:id="rId3" name="Button 1">
              <controlPr defaultSize="0" print="0" autoFill="0" autoLine="0" autoPict="0" macro="[0]!topp">
                <anchor moveWithCells="1" sizeWithCells="1">
                  <from>
                    <xdr:col>16</xdr:col>
                    <xdr:colOff>142875</xdr:colOff>
                    <xdr:row>1</xdr:row>
                    <xdr:rowOff>28575</xdr:rowOff>
                  </from>
                  <to>
                    <xdr:col>17</xdr:col>
                    <xdr:colOff>266700</xdr:colOff>
                    <xdr:row>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enableFormatConditionsCalculation="0">
    <pageSetUpPr fitToPage="1"/>
  </sheetPr>
  <dimension ref="R6:W18"/>
  <sheetViews>
    <sheetView showGridLines="0" workbookViewId="0">
      <selection activeCell="N18" sqref="N18"/>
    </sheetView>
  </sheetViews>
  <sheetFormatPr baseColWidth="10" defaultColWidth="10.83203125" defaultRowHeight="12.75"/>
  <cols>
    <col min="1" max="15" width="10.83203125" style="187"/>
    <col min="16" max="16" width="6" style="187" customWidth="1"/>
    <col min="17" max="17" width="5.83203125" style="187" customWidth="1"/>
    <col min="18" max="16384" width="10.83203125" style="187"/>
  </cols>
  <sheetData>
    <row r="6" spans="18:23">
      <c r="R6" s="197" t="s">
        <v>81</v>
      </c>
      <c r="S6" s="185"/>
      <c r="T6" s="185"/>
      <c r="U6" s="185"/>
      <c r="V6" s="185"/>
      <c r="W6" s="186"/>
    </row>
    <row r="7" spans="18:23">
      <c r="R7" s="198" t="s">
        <v>82</v>
      </c>
      <c r="S7" s="188"/>
      <c r="T7" s="188"/>
      <c r="U7" s="188"/>
      <c r="V7" s="188"/>
      <c r="W7" s="189"/>
    </row>
    <row r="8" spans="18:23">
      <c r="R8" s="190"/>
      <c r="S8" s="191"/>
      <c r="T8" s="191"/>
      <c r="U8" s="191"/>
      <c r="V8" s="192"/>
      <c r="W8" s="189"/>
    </row>
    <row r="9" spans="18:23">
      <c r="R9" s="190"/>
      <c r="S9" s="191"/>
      <c r="T9" s="191"/>
      <c r="U9" s="191"/>
      <c r="V9" s="192"/>
      <c r="W9" s="189"/>
    </row>
    <row r="10" spans="18:23">
      <c r="R10" s="190"/>
      <c r="S10" s="191"/>
      <c r="T10" s="191"/>
      <c r="U10" s="191"/>
      <c r="V10" s="192"/>
      <c r="W10" s="189"/>
    </row>
    <row r="11" spans="18:23">
      <c r="R11" s="190"/>
      <c r="S11" s="191"/>
      <c r="T11" s="191"/>
      <c r="U11" s="191"/>
      <c r="V11" s="192"/>
      <c r="W11" s="189"/>
    </row>
    <row r="12" spans="18:23">
      <c r="R12" s="190"/>
      <c r="S12" s="191"/>
      <c r="T12" s="191"/>
      <c r="U12" s="191"/>
      <c r="V12" s="192"/>
      <c r="W12" s="189"/>
    </row>
    <row r="13" spans="18:23">
      <c r="R13" s="190"/>
      <c r="S13" s="191"/>
      <c r="T13" s="191"/>
      <c r="U13" s="191"/>
      <c r="V13" s="192"/>
      <c r="W13" s="189"/>
    </row>
    <row r="14" spans="18:23">
      <c r="R14" s="190"/>
      <c r="S14" s="191"/>
      <c r="T14" s="191"/>
      <c r="U14" s="191"/>
      <c r="V14" s="192"/>
      <c r="W14" s="189"/>
    </row>
    <row r="15" spans="18:23">
      <c r="R15" s="190"/>
      <c r="S15" s="191"/>
      <c r="T15" s="191"/>
      <c r="U15" s="191"/>
      <c r="V15" s="192"/>
      <c r="W15" s="189"/>
    </row>
    <row r="16" spans="18:23">
      <c r="R16" s="190"/>
      <c r="S16" s="191"/>
      <c r="T16" s="191"/>
      <c r="U16" s="191"/>
      <c r="V16" s="192"/>
      <c r="W16" s="189"/>
    </row>
    <row r="17" spans="18:23">
      <c r="R17" s="190"/>
      <c r="S17" s="191"/>
      <c r="T17" s="191"/>
      <c r="U17" s="191"/>
      <c r="V17" s="192"/>
      <c r="W17" s="189"/>
    </row>
    <row r="18" spans="18:23">
      <c r="R18" s="193"/>
      <c r="S18" s="194"/>
      <c r="T18" s="194"/>
      <c r="U18" s="194"/>
      <c r="V18" s="195"/>
      <c r="W18" s="196"/>
    </row>
  </sheetData>
  <sheetProtection sheet="1" objects="1" scenarios="1"/>
  <phoneticPr fontId="1" type="noConversion"/>
  <pageMargins left="0.79000000000000015" right="0.79000000000000015" top="1" bottom="1" header="0.5" footer="0.5"/>
  <pageSetup paperSize="9" scale="59" orientation="portrait" horizontalDpi="4294967292" verticalDpi="4294967292"/>
  <headerFooter>
    <oddFooter>&amp;L&amp;"Arial,Vanlig"Johs Totland 20©15&amp;C&amp;"Arial,Vanlig"&amp;F &amp;A&amp;R&amp;"Arial,Vanlig"Side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049" r:id="rId3" name="Button 1">
              <controlPr defaultSize="0" print="0" autoFill="0" autoLine="0" autoPict="0" macro="[0]!topp">
                <anchor moveWithCells="1" sizeWithCells="1">
                  <from>
                    <xdr:col>17</xdr:col>
                    <xdr:colOff>104775</xdr:colOff>
                    <xdr:row>1</xdr:row>
                    <xdr:rowOff>85725</xdr:rowOff>
                  </from>
                  <to>
                    <xdr:col>18</xdr:col>
                    <xdr:colOff>85725</xdr:colOff>
                    <xdr:row>3</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4" enableFormatConditionsCalculation="0"/>
  <dimension ref="A1:P175"/>
  <sheetViews>
    <sheetView showGridLines="0" zoomScale="110" zoomScaleNormal="110" zoomScalePageLayoutView="110" workbookViewId="0"/>
  </sheetViews>
  <sheetFormatPr baseColWidth="10" defaultColWidth="11" defaultRowHeight="12.75"/>
  <cols>
    <col min="1" max="1" width="10" style="215" customWidth="1"/>
    <col min="2" max="14" width="11" style="215"/>
    <col min="15" max="15" width="15" style="215" customWidth="1"/>
    <col min="16" max="16" width="9.83203125" style="215" customWidth="1"/>
    <col min="17" max="16384" width="11" style="215"/>
  </cols>
  <sheetData>
    <row r="1" spans="1:16" ht="18.75">
      <c r="A1" s="216" t="s">
        <v>104</v>
      </c>
      <c r="B1" s="218"/>
      <c r="C1" s="218"/>
      <c r="D1" s="218"/>
      <c r="E1" s="218"/>
      <c r="F1" s="218"/>
      <c r="G1" s="218"/>
      <c r="H1" s="218"/>
      <c r="I1" s="218"/>
      <c r="J1" s="218"/>
      <c r="K1" s="218"/>
      <c r="L1" s="218"/>
      <c r="M1" s="218"/>
      <c r="N1" s="218"/>
      <c r="O1" s="218"/>
      <c r="P1" s="219"/>
    </row>
    <row r="2" spans="1:16" ht="18.75">
      <c r="A2" s="222"/>
      <c r="B2" s="223"/>
      <c r="C2" s="223"/>
      <c r="D2" s="223"/>
      <c r="E2" s="223"/>
      <c r="F2" s="223"/>
      <c r="G2" s="223"/>
      <c r="H2" s="223"/>
      <c r="I2" s="223"/>
      <c r="J2" s="223"/>
      <c r="K2" s="223"/>
      <c r="L2" s="223"/>
      <c r="M2" s="223"/>
      <c r="N2" s="223"/>
      <c r="O2" s="223"/>
      <c r="P2" s="219"/>
    </row>
    <row r="3" spans="1:16" ht="18.75">
      <c r="A3" s="216" t="s">
        <v>123</v>
      </c>
      <c r="B3" s="218"/>
      <c r="C3" s="218"/>
      <c r="D3" s="218"/>
      <c r="E3" s="218"/>
      <c r="F3" s="218"/>
      <c r="G3" s="218"/>
      <c r="H3" s="218"/>
      <c r="I3" s="218"/>
      <c r="J3" s="218"/>
      <c r="K3" s="218"/>
      <c r="L3" s="218"/>
      <c r="M3" s="218"/>
      <c r="N3" s="218"/>
      <c r="O3" s="218"/>
      <c r="P3" s="219"/>
    </row>
    <row r="4" spans="1:16" s="219" customFormat="1" ht="15"/>
    <row r="5" spans="1:16" s="219" customFormat="1" ht="15">
      <c r="A5" s="219" t="s">
        <v>126</v>
      </c>
    </row>
    <row r="6" spans="1:16" s="219" customFormat="1" ht="15"/>
    <row r="7" spans="1:16" s="219" customFormat="1" ht="15">
      <c r="A7" s="219" t="s">
        <v>105</v>
      </c>
    </row>
    <row r="8" spans="1:16" s="219" customFormat="1" ht="15"/>
    <row r="9" spans="1:16" s="219" customFormat="1" ht="15">
      <c r="H9" s="219" t="s">
        <v>106</v>
      </c>
    </row>
    <row r="10" spans="1:16" s="219" customFormat="1" ht="15"/>
    <row r="11" spans="1:16" s="219" customFormat="1" ht="15">
      <c r="H11" s="219" t="s">
        <v>3</v>
      </c>
    </row>
    <row r="12" spans="1:16" s="219" customFormat="1" ht="15">
      <c r="H12" s="219" t="s">
        <v>5</v>
      </c>
    </row>
    <row r="13" spans="1:16" s="219" customFormat="1" ht="15">
      <c r="H13" s="219" t="s">
        <v>107</v>
      </c>
    </row>
    <row r="14" spans="1:16" s="219" customFormat="1" ht="15">
      <c r="H14" s="219" t="s">
        <v>108</v>
      </c>
    </row>
    <row r="15" spans="1:16" s="219" customFormat="1" ht="15">
      <c r="H15" s="219" t="s">
        <v>109</v>
      </c>
    </row>
    <row r="16" spans="1:16" s="219" customFormat="1" ht="15">
      <c r="H16" s="219" t="s">
        <v>110</v>
      </c>
    </row>
    <row r="17" spans="8:8" s="219" customFormat="1" ht="15">
      <c r="H17" s="221" t="s">
        <v>111</v>
      </c>
    </row>
    <row r="18" spans="8:8" s="219" customFormat="1" ht="15">
      <c r="H18" s="221" t="s">
        <v>112</v>
      </c>
    </row>
    <row r="19" spans="8:8" s="219" customFormat="1" ht="15">
      <c r="H19" s="219" t="s">
        <v>127</v>
      </c>
    </row>
    <row r="20" spans="8:8" s="219" customFormat="1" ht="15">
      <c r="H20" s="219" t="s">
        <v>114</v>
      </c>
    </row>
    <row r="21" spans="8:8" s="219" customFormat="1" ht="15"/>
    <row r="22" spans="8:8" s="219" customFormat="1" ht="15">
      <c r="H22" s="221" t="s">
        <v>115</v>
      </c>
    </row>
    <row r="23" spans="8:8" s="219" customFormat="1" ht="15">
      <c r="H23" s="221" t="s">
        <v>116</v>
      </c>
    </row>
    <row r="24" spans="8:8" s="219" customFormat="1" ht="15"/>
    <row r="25" spans="8:8" s="219" customFormat="1" ht="15">
      <c r="H25" s="219" t="s">
        <v>117</v>
      </c>
    </row>
    <row r="26" spans="8:8" s="219" customFormat="1" ht="15"/>
    <row r="27" spans="8:8" s="219" customFormat="1" ht="15"/>
    <row r="28" spans="8:8" s="219" customFormat="1" ht="15"/>
    <row r="29" spans="8:8" s="219" customFormat="1" ht="15"/>
    <row r="30" spans="8:8" s="219" customFormat="1" ht="15"/>
    <row r="31" spans="8:8" s="219" customFormat="1" ht="15"/>
    <row r="32" spans="8:8" s="219" customFormat="1" ht="15"/>
    <row r="33" spans="1:16" s="219" customFormat="1" ht="15"/>
    <row r="34" spans="1:16" s="219" customFormat="1" ht="15"/>
    <row r="35" spans="1:16" s="219" customFormat="1" ht="15"/>
    <row r="36" spans="1:16" s="219" customFormat="1" ht="15"/>
    <row r="37" spans="1:16" s="219" customFormat="1" ht="15"/>
    <row r="38" spans="1:16" s="219" customFormat="1" ht="15"/>
    <row r="39" spans="1:16" s="219" customFormat="1" ht="15"/>
    <row r="40" spans="1:16" ht="18.75">
      <c r="A40" s="216" t="s">
        <v>134</v>
      </c>
      <c r="B40" s="218"/>
      <c r="C40" s="218"/>
      <c r="D40" s="218"/>
      <c r="E40" s="218"/>
      <c r="F40" s="218"/>
      <c r="G40" s="218"/>
      <c r="H40" s="218"/>
      <c r="I40" s="218"/>
      <c r="J40" s="218"/>
      <c r="K40" s="218"/>
      <c r="L40" s="218"/>
      <c r="M40" s="218"/>
      <c r="N40" s="218"/>
      <c r="O40" s="218"/>
      <c r="P40" s="219"/>
    </row>
    <row r="41" spans="1:16" s="219" customFormat="1" ht="15"/>
    <row r="42" spans="1:16" ht="18.75">
      <c r="A42" s="216" t="s">
        <v>135</v>
      </c>
      <c r="B42" s="218"/>
      <c r="C42" s="218"/>
      <c r="D42" s="218"/>
      <c r="E42" s="218"/>
      <c r="F42" s="218"/>
      <c r="G42" s="218"/>
      <c r="H42" s="218"/>
      <c r="I42" s="218"/>
      <c r="J42" s="218"/>
      <c r="K42" s="218"/>
      <c r="L42" s="218"/>
      <c r="M42" s="218"/>
      <c r="N42" s="218"/>
      <c r="O42" s="218"/>
      <c r="P42" s="219"/>
    </row>
    <row r="43" spans="1:16" s="219" customFormat="1" ht="15">
      <c r="A43" s="219" t="s">
        <v>136</v>
      </c>
    </row>
    <row r="44" spans="1:16" s="219" customFormat="1" ht="15">
      <c r="A44" s="219" t="s">
        <v>148</v>
      </c>
    </row>
    <row r="45" spans="1:16" s="219" customFormat="1" ht="15">
      <c r="A45" s="219" t="s">
        <v>149</v>
      </c>
    </row>
    <row r="46" spans="1:16" s="219" customFormat="1" ht="15">
      <c r="A46" s="219" t="s">
        <v>137</v>
      </c>
    </row>
    <row r="47" spans="1:16" s="219" customFormat="1" ht="15"/>
    <row r="48" spans="1:16" s="219" customFormat="1" ht="15"/>
    <row r="49" spans="1:16" s="219" customFormat="1" ht="15"/>
    <row r="50" spans="1:16" s="219" customFormat="1" ht="15"/>
    <row r="51" spans="1:16" s="219" customFormat="1" ht="15"/>
    <row r="52" spans="1:16" s="219" customFormat="1" ht="15"/>
    <row r="53" spans="1:16" s="219" customFormat="1" ht="15"/>
    <row r="54" spans="1:16" s="219" customFormat="1" ht="15"/>
    <row r="55" spans="1:16" s="219" customFormat="1" ht="15"/>
    <row r="56" spans="1:16" s="219" customFormat="1" ht="15"/>
    <row r="57" spans="1:16" s="219" customFormat="1" ht="15"/>
    <row r="58" spans="1:16" s="219" customFormat="1" ht="15">
      <c r="H58" s="221"/>
    </row>
    <row r="59" spans="1:16" s="219" customFormat="1" ht="15">
      <c r="H59" s="221"/>
    </row>
    <row r="60" spans="1:16" s="219" customFormat="1" ht="15"/>
    <row r="61" spans="1:16" ht="18.75">
      <c r="A61" s="216" t="s">
        <v>138</v>
      </c>
      <c r="B61" s="218"/>
      <c r="C61" s="218"/>
      <c r="D61" s="218"/>
      <c r="E61" s="218"/>
      <c r="F61" s="218"/>
      <c r="G61" s="218"/>
      <c r="H61" s="216" t="s">
        <v>142</v>
      </c>
      <c r="I61" s="216"/>
      <c r="J61" s="218"/>
      <c r="K61" s="218"/>
      <c r="L61" s="218"/>
      <c r="M61" s="218"/>
      <c r="N61" s="218"/>
      <c r="O61" s="218"/>
      <c r="P61" s="219"/>
    </row>
    <row r="62" spans="1:16" s="219" customFormat="1" ht="15">
      <c r="A62" s="219" t="s">
        <v>140</v>
      </c>
      <c r="H62" s="219" t="s">
        <v>143</v>
      </c>
    </row>
    <row r="63" spans="1:16" s="219" customFormat="1" ht="15">
      <c r="A63" s="219" t="s">
        <v>144</v>
      </c>
      <c r="H63" s="219" t="s">
        <v>150</v>
      </c>
    </row>
    <row r="64" spans="1:16" s="219" customFormat="1" ht="15">
      <c r="A64" s="219" t="s">
        <v>141</v>
      </c>
    </row>
    <row r="65" spans="1:9" s="219" customFormat="1" ht="15"/>
    <row r="66" spans="1:9" s="219" customFormat="1" ht="15"/>
    <row r="67" spans="1:9" s="219" customFormat="1" ht="15"/>
    <row r="68" spans="1:9" s="219" customFormat="1" ht="15">
      <c r="A68" s="219" t="s">
        <v>139</v>
      </c>
    </row>
    <row r="69" spans="1:9" s="219" customFormat="1" ht="15">
      <c r="A69" s="219" t="s">
        <v>151</v>
      </c>
    </row>
    <row r="70" spans="1:9" s="219" customFormat="1" ht="15"/>
    <row r="71" spans="1:9" s="219" customFormat="1" ht="15">
      <c r="H71" s="219" t="s">
        <v>147</v>
      </c>
    </row>
    <row r="72" spans="1:9" s="219" customFormat="1" ht="15">
      <c r="I72" s="231" t="s">
        <v>145</v>
      </c>
    </row>
    <row r="73" spans="1:9" s="219" customFormat="1" ht="15">
      <c r="I73" s="230" t="s">
        <v>146</v>
      </c>
    </row>
    <row r="74" spans="1:9" s="219" customFormat="1" ht="15"/>
    <row r="75" spans="1:9" s="219" customFormat="1" ht="15">
      <c r="I75" s="231"/>
    </row>
    <row r="76" spans="1:9" s="219" customFormat="1" ht="15"/>
    <row r="77" spans="1:9" s="219" customFormat="1" ht="15"/>
    <row r="78" spans="1:9" s="219" customFormat="1" ht="15"/>
    <row r="79" spans="1:9" s="219" customFormat="1" ht="15"/>
    <row r="80" spans="1:9" s="219" customFormat="1" ht="15"/>
    <row r="81" spans="1:16" s="219" customFormat="1" ht="0.95" customHeight="1"/>
    <row r="82" spans="1:16" ht="18.75">
      <c r="A82" s="216" t="s">
        <v>124</v>
      </c>
      <c r="B82" s="218"/>
      <c r="C82" s="218"/>
      <c r="D82" s="218"/>
      <c r="E82" s="218"/>
      <c r="F82" s="218"/>
      <c r="G82" s="218"/>
      <c r="H82" s="218"/>
      <c r="I82" s="218"/>
      <c r="J82" s="218"/>
      <c r="K82" s="218"/>
      <c r="L82" s="218"/>
      <c r="M82" s="218"/>
      <c r="N82" s="218"/>
      <c r="O82" s="218"/>
      <c r="P82" s="219"/>
    </row>
    <row r="83" spans="1:16" s="219" customFormat="1" ht="15"/>
    <row r="84" spans="1:16" s="219" customFormat="1" ht="15"/>
    <row r="85" spans="1:16" s="219" customFormat="1" ht="15"/>
    <row r="86" spans="1:16" s="219" customFormat="1" ht="15"/>
    <row r="87" spans="1:16" s="219" customFormat="1" ht="15"/>
    <row r="88" spans="1:16" s="219" customFormat="1" ht="15"/>
    <row r="89" spans="1:16" s="219" customFormat="1" ht="15"/>
    <row r="90" spans="1:16" s="219" customFormat="1" ht="15">
      <c r="A90" s="219" t="s">
        <v>122</v>
      </c>
      <c r="G90" s="219" t="s">
        <v>120</v>
      </c>
    </row>
    <row r="91" spans="1:16" s="219" customFormat="1" ht="15"/>
    <row r="92" spans="1:16" s="219" customFormat="1" ht="15"/>
    <row r="93" spans="1:16" s="219" customFormat="1" ht="15"/>
    <row r="94" spans="1:16" s="219" customFormat="1" ht="15"/>
    <row r="95" spans="1:16" s="219" customFormat="1" ht="15"/>
    <row r="96" spans="1:16" s="219" customFormat="1" ht="15"/>
    <row r="97" spans="1:7" s="219" customFormat="1" ht="15"/>
    <row r="98" spans="1:7" s="219" customFormat="1" ht="15"/>
    <row r="99" spans="1:7" s="219" customFormat="1" ht="15"/>
    <row r="100" spans="1:7" s="219" customFormat="1" ht="15"/>
    <row r="101" spans="1:7" s="219" customFormat="1" ht="15">
      <c r="A101" s="219" t="s">
        <v>118</v>
      </c>
    </row>
    <row r="102" spans="1:7" s="219" customFormat="1" ht="15">
      <c r="A102" s="219" t="s">
        <v>119</v>
      </c>
    </row>
    <row r="103" spans="1:7" s="219" customFormat="1" ht="15"/>
    <row r="104" spans="1:7" s="219" customFormat="1" ht="15">
      <c r="G104" s="219" t="s">
        <v>121</v>
      </c>
    </row>
    <row r="105" spans="1:7" s="219" customFormat="1" ht="15"/>
    <row r="106" spans="1:7" s="219" customFormat="1" ht="15"/>
    <row r="107" spans="1:7" s="219" customFormat="1" ht="15"/>
    <row r="108" spans="1:7" s="219" customFormat="1" ht="15"/>
    <row r="109" spans="1:7" s="219" customFormat="1" ht="15"/>
    <row r="110" spans="1:7" s="219" customFormat="1" ht="15"/>
    <row r="111" spans="1:7" s="219" customFormat="1" ht="15"/>
    <row r="112" spans="1:7" s="219" customFormat="1" ht="15"/>
    <row r="113" spans="1:16" s="219" customFormat="1" ht="15"/>
    <row r="114" spans="1:16" s="219" customFormat="1" ht="15"/>
    <row r="115" spans="1:16" s="219" customFormat="1" ht="15"/>
    <row r="116" spans="1:16" s="219" customFormat="1" ht="15"/>
    <row r="117" spans="1:16" s="219" customFormat="1" ht="15"/>
    <row r="118" spans="1:16" s="219" customFormat="1" ht="15"/>
    <row r="119" spans="1:16" ht="18.75">
      <c r="A119" s="216" t="s">
        <v>113</v>
      </c>
      <c r="B119" s="217"/>
      <c r="C119" s="217"/>
      <c r="D119" s="217"/>
      <c r="E119" s="217"/>
      <c r="F119" s="217"/>
      <c r="G119" s="217"/>
      <c r="H119" s="217"/>
      <c r="I119" s="217"/>
      <c r="J119" s="217"/>
      <c r="K119" s="217"/>
      <c r="L119" s="217"/>
      <c r="M119" s="217"/>
      <c r="N119" s="217"/>
      <c r="O119" s="217"/>
      <c r="P119" s="219"/>
    </row>
    <row r="125" spans="1:16" ht="15" customHeight="1"/>
    <row r="126" spans="1:16" ht="15" customHeight="1"/>
    <row r="127" spans="1:16" ht="15" customHeight="1"/>
    <row r="128" spans="1:16"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spans="1:10" ht="15" customHeight="1"/>
    <row r="146" spans="1:10" ht="15" customHeight="1"/>
    <row r="147" spans="1:10" ht="15" customHeight="1"/>
    <row r="148" spans="1:10" ht="15" customHeight="1"/>
    <row r="149" spans="1:10" ht="15" customHeight="1"/>
    <row r="150" spans="1:10" ht="15" customHeight="1"/>
    <row r="151" spans="1:10" ht="15" customHeight="1"/>
    <row r="152" spans="1:10" ht="15" customHeight="1"/>
    <row r="153" spans="1:10" ht="15" customHeight="1"/>
    <row r="154" spans="1:10" ht="30.95" customHeight="1"/>
    <row r="155" spans="1:10" ht="2.1" customHeight="1"/>
    <row r="156" spans="1:10" ht="15" customHeight="1">
      <c r="A156" s="220" t="s">
        <v>102</v>
      </c>
      <c r="D156" s="214" t="s">
        <v>101</v>
      </c>
      <c r="J156" s="215" t="s">
        <v>125</v>
      </c>
    </row>
    <row r="157" spans="1:10" ht="15" customHeight="1"/>
    <row r="158" spans="1:10" ht="15" customHeight="1"/>
    <row r="170" spans="1:15" ht="21" customHeight="1"/>
    <row r="171" spans="1:15" ht="18.75">
      <c r="A171" s="216" t="s">
        <v>128</v>
      </c>
      <c r="B171" s="217"/>
      <c r="C171" s="217"/>
      <c r="D171" s="217"/>
      <c r="E171" s="217"/>
      <c r="F171" s="217"/>
      <c r="G171" s="217"/>
      <c r="H171" s="217"/>
      <c r="I171" s="217"/>
      <c r="J171" s="217"/>
      <c r="K171" s="217"/>
      <c r="L171" s="217"/>
      <c r="M171" s="217"/>
      <c r="N171" s="217"/>
      <c r="O171" s="217"/>
    </row>
    <row r="172" spans="1:15">
      <c r="A172" s="215" t="s">
        <v>130</v>
      </c>
    </row>
    <row r="173" spans="1:15">
      <c r="A173" s="215" t="s">
        <v>103</v>
      </c>
    </row>
    <row r="174" spans="1:15" ht="8.1" customHeight="1"/>
    <row r="175" spans="1:15">
      <c r="A175" s="215" t="s">
        <v>129</v>
      </c>
    </row>
  </sheetData>
  <sheetProtection sheet="1" objects="1" scenarios="1"/>
  <phoneticPr fontId="1" type="noConversion"/>
  <pageMargins left="0.2" right="0.2" top="0.35000000000000003" bottom="0.35000000000000003" header="0.30000000000000004" footer="0.30000000000000004"/>
  <pageSetup paperSize="9" scale="85" orientation="landscape" horizontalDpi="0" verticalDpi="0"/>
  <headerFooter>
    <oddFooter>&amp;L&amp;"Arial,Vanlig"Johs Totland 20©15&amp;C&amp;"Arial,Vanlig"&amp;F &amp;A&amp;R&amp;"Arial,Vanlig"Side &amp;P</oddFooter>
  </headerFooter>
  <rowBreaks count="3" manualBreakCount="3">
    <brk id="80" max="14" man="1"/>
    <brk id="118" max="14" man="1"/>
    <brk id="154" max="14" man="1"/>
  </rowBreaks>
  <colBreaks count="1" manualBreakCount="1">
    <brk id="15"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5121" r:id="rId3" name="Button 1">
              <controlPr defaultSize="0" print="0" autoFill="0" autoLine="0" autoPict="0" macro="[0]!topp">
                <anchor moveWithCells="1" sizeWithCells="1">
                  <from>
                    <xdr:col>15</xdr:col>
                    <xdr:colOff>495300</xdr:colOff>
                    <xdr:row>0</xdr:row>
                    <xdr:rowOff>123825</xdr:rowOff>
                  </from>
                  <to>
                    <xdr:col>16</xdr:col>
                    <xdr:colOff>542925</xdr:colOff>
                    <xdr:row>1</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41</vt:i4>
      </vt:variant>
    </vt:vector>
  </HeadingPairs>
  <TitlesOfParts>
    <vt:vector size="45" baseType="lpstr">
      <vt:lpstr>Markedstilpasning</vt:lpstr>
      <vt:lpstr>Enhetsdiagram</vt:lpstr>
      <vt:lpstr>Totaldiagram</vt:lpstr>
      <vt:lpstr>Hjelp</vt:lpstr>
      <vt:lpstr>\E</vt:lpstr>
      <vt:lpstr>\K</vt:lpstr>
      <vt:lpstr>\R</vt:lpstr>
      <vt:lpstr>\T</vt:lpstr>
      <vt:lpstr>_mm2</vt:lpstr>
      <vt:lpstr>_pm2</vt:lpstr>
      <vt:lpstr>EFTK</vt:lpstr>
      <vt:lpstr>EP</vt:lpstr>
      <vt:lpstr>EVK</vt:lpstr>
      <vt:lpstr>fryspunkt</vt:lpstr>
      <vt:lpstr>FTK</vt:lpstr>
      <vt:lpstr>innpunkt</vt:lpstr>
      <vt:lpstr>Intervall</vt:lpstr>
      <vt:lpstr>m</vt:lpstr>
      <vt:lpstr>mengde2</vt:lpstr>
      <vt:lpstr>mengde3</vt:lpstr>
      <vt:lpstr>pris</vt:lpstr>
      <vt:lpstr>Prisendring</vt:lpstr>
      <vt:lpstr>resultat</vt:lpstr>
      <vt:lpstr>sek</vt:lpstr>
      <vt:lpstr>Startmengde</vt:lpstr>
      <vt:lpstr>Startpris</vt:lpstr>
      <vt:lpstr>sti</vt:lpstr>
      <vt:lpstr>stk</vt:lpstr>
      <vt:lpstr>stoppmengde</vt:lpstr>
      <vt:lpstr>svek</vt:lpstr>
      <vt:lpstr>tab1start</vt:lpstr>
      <vt:lpstr>tab2start</vt:lpstr>
      <vt:lpstr>tabell1</vt:lpstr>
      <vt:lpstr>tabell2</vt:lpstr>
      <vt:lpstr>tabells</vt:lpstr>
      <vt:lpstr>total</vt:lpstr>
      <vt:lpstr>Totale_inntekter_og_kostnader__resultat_og_dekningsbidrag_totalt</vt:lpstr>
      <vt:lpstr>Markedstilpasning!utskrift1</vt:lpstr>
      <vt:lpstr>Markedstilpasning!utskrift2</vt:lpstr>
      <vt:lpstr>Enhetsdiagram!Utskriftsområde</vt:lpstr>
      <vt:lpstr>Hjelp!Utskriftsområde</vt:lpstr>
      <vt:lpstr>Markedstilpasning!Utskriftsområde</vt:lpstr>
      <vt:lpstr>Totaldiagram!Utskriftsområde</vt:lpstr>
      <vt:lpstr>VEK</vt:lpstr>
      <vt:lpstr>VO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Berrefjord</dc:creator>
  <cp:lastModifiedBy>Anne Berrefjord</cp:lastModifiedBy>
  <cp:lastPrinted>2015-10-18T19:48:46Z</cp:lastPrinted>
  <dcterms:created xsi:type="dcterms:W3CDTF">1997-04-20T19:20:03Z</dcterms:created>
  <dcterms:modified xsi:type="dcterms:W3CDTF">2015-10-20T10:13:57Z</dcterms:modified>
</cp:coreProperties>
</file>